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3.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4.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5.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7.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8.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9.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1.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2.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3.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Z:\d_Work\2023\08_BRI_澤地様_VWV制御\a_作業\a_app\"/>
    </mc:Choice>
  </mc:AlternateContent>
  <xr:revisionPtr revIDLastSave="0" documentId="13_ncr:1_{22BE8CC0-65D4-4217-A14E-F0970CD8D9A7}" xr6:coauthVersionLast="47" xr6:coauthVersionMax="47" xr10:uidLastSave="{00000000-0000-0000-0000-000000000000}"/>
  <workbookProtection workbookAlgorithmName="SHA-512" workbookHashValue="HGiiV4vTQSCYjpEkH1XWbzEGqPbS+uH49ahWqDrnCXv7vmY9uympF0U6Fk8JZjFsqCPTBk+YMZSsEHsf0Pcapw==" workbookSaltValue="gNoSpIoBQ3AVgJndw1KsJg==" workbookSpinCount="100000" lockStructure="1"/>
  <bookViews>
    <workbookView xWindow="-120" yWindow="-120" windowWidth="29040" windowHeight="15720" tabRatio="884" xr2:uid="{8813E811-5C8F-4A6D-B9EF-B9C6027EA926}"/>
  </bookViews>
  <sheets>
    <sheet name="使用許諾条件" sheetId="124" r:id="rId1"/>
    <sheet name="使い方" sheetId="53" r:id="rId2"/>
    <sheet name="入力0" sheetId="109" r:id="rId3"/>
    <sheet name="入力1" sheetId="27" r:id="rId4"/>
    <sheet name="入力2" sheetId="106" r:id="rId5"/>
    <sheet name="入力3" sheetId="107" r:id="rId6"/>
    <sheet name="入力4" sheetId="112" r:id="rId7"/>
    <sheet name="入力5" sheetId="123" r:id="rId8"/>
    <sheet name="prm" sheetId="28" state="hidden" r:id="rId9"/>
    <sheet name="回帰式の確認" sheetId="105" r:id="rId10"/>
    <sheet name="ポンプ軸動力等の確認" sheetId="108" r:id="rId11"/>
    <sheet name="任意評定用結果出力" sheetId="104" r:id="rId12"/>
    <sheet name="VWV設計計算_パラメータ設定_運転点設定(改)" sheetId="25" state="hidden" r:id="rId13"/>
    <sheet name="3次式係数計算過程" sheetId="103" r:id="rId14"/>
    <sheet name="A" sheetId="30" r:id="rId15"/>
    <sheet name="B" sheetId="31" r:id="rId16"/>
    <sheet name="C1" sheetId="32" r:id="rId17"/>
    <sheet name="C2" sheetId="33" r:id="rId18"/>
    <sheet name="C3" sheetId="34" r:id="rId19"/>
    <sheet name="D_1" sheetId="35" r:id="rId20"/>
    <sheet name="D_2" sheetId="114" r:id="rId21"/>
    <sheet name="D_3" sheetId="115" r:id="rId22"/>
    <sheet name="D_4" sheetId="116" r:id="rId23"/>
    <sheet name="D_5" sheetId="117" r:id="rId24"/>
    <sheet name="D_6" sheetId="118" r:id="rId25"/>
    <sheet name="D_7" sheetId="119" r:id="rId26"/>
    <sheet name="D_8" sheetId="120" r:id="rId27"/>
    <sheet name="D_9" sheetId="121" r:id="rId28"/>
    <sheet name="D_10" sheetId="122" r:id="rId29"/>
    <sheet name="E" sheetId="45" r:id="rId30"/>
    <sheet name="F" sheetId="46" r:id="rId31"/>
  </sheets>
  <definedNames>
    <definedName name="_bisection.quartic_equation" comment="区間x1～x2における4次式の解を二分法で求める。_x000a_引数axは4次式の係数（xは次数）、x1は区間最小値、x2は区間最大値、_x000a_counts_iteration_maxは最大繰り返し数、toleranceは許容誤差、_x000a_counts_iteration_initialは繰り返し数の初期値（省略可：通常入力不要）、_x000a_output_process_calculation_as_arrayはTrueで計算過程配列の出力（省略可）。_x000a_title_array_processは計算過程配列のタイトル（省略可）である。">_xlfn.LAMBDA(_xlpm._a4,_xlpm._a3,_xlpm._a2,_xlpm._a1,_xlpm._a0,_xlpm._x1,_xlpm._x2,_xlpm._counts_iteration_max,_xlpm._tolerance,_xlop._counts_iteration_initial,_xlop._output_process_calculation_as_array,_xlop._title_array_process,_xlfn.LET(_xlpm._counts_iteration, IF(_xlfn.ISOMITTED(_xlpm._counts_iteration_initial), 1, _xlpm._counts_iteration_initial), _xlpm._output_process, AND(NOT(_xlfn.ISOMITTED(_xlpm._output_process_calculation_as_array)), _xlpm._output_process_calculation_as_array = TRUE), IF(_xlpm._counts_iteration &gt; _xlpm._counts_iteration_max, IF(_xlpm._output_process, _xlfn.VSTACK("#Divergence!", _xlpm._title_array_process), "#Divergence(n:" &amp; _xlpm._counts_iteration_max &amp; ")!"), _xlfn.LET(_xlpm._y1, SUM(_xlfn.HSTACK(_xlpm._a4, _xlpm._a3, _xlpm._a2, _xlpm._a1, _xlpm._a0) * _xlfn.HSTACK(_xlpm._x1 ^ {4,3,2,1}, 1)), _xlpm._y2, SUM(_xlfn.HSTACK(_xlpm._a4, _xlpm._a3, _xlpm._a2, _xlpm._a1, _xlpm._a0) * _xlfn.HSTACK(_xlpm._x2 ^ {4,3,2,1}, 1)), _xlpm._x, AVERAGE(_xlpm._x1, _xlpm._x2), _xlpm._y, SUM(_xlfn.HSTACK(_xlpm._a4, _xlpm._a3, _xlpm._a2, _xlpm._a1, _xlpm._a0) * _xlfn.HSTACK(_xlpm._x ^ {4,3,2,1}, 1)), IF(ABS(_xlpm._y) &lt;= _xlpm._tolerance, IF(_xlpm._output_process, _xlfn.VSTACK(_xlpm._x, _xlpm._title_array_process, _xlpm._x), _xlpm._x), _xlfn.LET(_xlpm._x1_new, IF(SIGN(_xlpm._y1) = SIGN(_xlpm._y), _xlpm._x, _xlpm._x1), _xlpm._x2_new, IF(SIGN(_xlpm._y2) = SIGN(_xlpm._y), _xlpm._x, _xlpm._x2), _bisection.quartic_equation(_xlpm._a4, _xlpm._a3, _xlpm._a2, _xlpm._a1, _xlpm._a0, _xlpm._x1_new, _xlpm._x2_new, _xlpm._counts_iteration_max, _xlpm._tolerance, _xlpm._counts_iteration + 1, _xlpm._output_process, IF(_xlfn.ISOMITTED(_xlpm._title_array_process), _xlfn.VSTACK("[calculation process]", _xlpm._x), _xlfn.VSTACK(_xlpm._title_array_process, _xlpm._x)))))))))</definedName>
    <definedName name="_path.file.csv.digitizer">'VWV設計計算_パラメータ設定_運転点設定(改)'!$C$35</definedName>
    <definedName name="_xlnm.Print_Area" localSheetId="11">任意評定用結果出力!$C$6:$CT$41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53" l="1"/>
  <c r="R17" i="114"/>
  <c r="R17" i="115"/>
  <c r="R17" i="116"/>
  <c r="R17" i="117"/>
  <c r="R17" i="118"/>
  <c r="R17" i="119"/>
  <c r="R17" i="120"/>
  <c r="R17" i="121"/>
  <c r="R17" i="122"/>
  <c r="R17" i="35"/>
  <c r="C9" i="104"/>
  <c r="A2" i="108"/>
  <c r="F19" i="53" s="1"/>
  <c r="F18" i="53"/>
  <c r="E20" i="53"/>
  <c r="C47" i="53" s="1"/>
  <c r="E19" i="53"/>
  <c r="E18" i="53"/>
  <c r="F17" i="53"/>
  <c r="E17" i="53"/>
  <c r="F16" i="53"/>
  <c r="E16" i="53"/>
  <c r="F15" i="53"/>
  <c r="E15" i="53"/>
  <c r="F14" i="53"/>
  <c r="E14" i="53"/>
  <c r="F13" i="53"/>
  <c r="E13" i="53"/>
  <c r="E12" i="53"/>
  <c r="F12" i="53"/>
  <c r="D12" i="53"/>
  <c r="D13" i="53" s="1"/>
  <c r="D14" i="53" s="1"/>
  <c r="D15" i="53" s="1"/>
  <c r="D16" i="53" s="1"/>
  <c r="D17" i="53" s="1"/>
  <c r="D18" i="53" s="1"/>
  <c r="D19" i="53" s="1"/>
  <c r="A5" i="28" a="1"/>
  <c r="A5" i="28" s="1"/>
  <c r="K17" i="35"/>
  <c r="K16" i="35"/>
  <c r="BQ14" i="34" a="1"/>
  <c r="BQ14" i="34" s="1"/>
  <c r="BJ14" i="34" a="1"/>
  <c r="BJ14" i="34" s="1"/>
  <c r="BQ14" i="33" a="1"/>
  <c r="BQ14" i="33" s="1"/>
  <c r="BJ14" i="33" a="1"/>
  <c r="BJ14" i="33" s="1"/>
  <c r="FP14" i="32" a="1"/>
  <c r="FP14" i="32" s="1"/>
  <c r="FI14" i="32" a="1"/>
  <c r="FI14" i="32" s="1"/>
  <c r="K5" i="28" a="1"/>
  <c r="K5" i="28" s="1"/>
  <c r="I5" i="28" a="1"/>
  <c r="I5" i="28" s="1"/>
  <c r="G5" i="28" a="1"/>
  <c r="G5" i="28" s="1"/>
  <c r="C5" i="28" a="1"/>
  <c r="C5" i="28" s="1"/>
  <c r="BP14" i="34" a="1"/>
  <c r="BP14" i="34" s="1"/>
  <c r="BP14" i="33" a="1"/>
  <c r="BP14" i="33" s="1"/>
  <c r="FO14" i="32" a="1"/>
  <c r="FO14" i="32" s="1"/>
  <c r="L5" i="28" a="1"/>
  <c r="L5" i="28" s="1"/>
  <c r="N5" i="28"/>
  <c r="J5" i="28" a="1"/>
  <c r="J5" i="28" s="1"/>
  <c r="H5" i="28" a="1"/>
  <c r="H5" i="28" s="1"/>
  <c r="F5" i="28"/>
  <c r="E5" i="28"/>
  <c r="D5" i="28" a="1"/>
  <c r="D5" i="28" s="1"/>
  <c r="K37" i="35"/>
  <c r="K36" i="35"/>
  <c r="F24" i="53" a="1"/>
  <c r="F37" i="53" a="1"/>
  <c r="F23" i="53" a="1"/>
  <c r="F38" i="53" a="1"/>
  <c r="F25" i="53" a="1"/>
  <c r="F22" i="53" a="1"/>
  <c r="F26" i="53" a="1"/>
  <c r="F23" i="53" l="1"/>
  <c r="F24" i="53"/>
  <c r="F25" i="53"/>
  <c r="F26" i="53"/>
  <c r="F37" i="53"/>
  <c r="F38" i="53"/>
  <c r="F22" i="53"/>
  <c r="C44" i="53"/>
  <c r="CR26" i="103" a="1"/>
  <c r="CR26" i="103" s="1"/>
  <c r="CR9" i="103" a="1"/>
  <c r="CR9" i="103" s="1"/>
  <c r="BW12" i="104" a="1"/>
  <c r="BW12" i="104" s="1"/>
  <c r="BU14" i="34" l="1"/>
  <c r="BU15" i="34" s="1"/>
  <c r="BU13" i="34" a="1"/>
  <c r="BU13" i="34" s="1"/>
  <c r="BT13" i="34" a="1"/>
  <c r="BT13" i="34" s="1"/>
  <c r="BU14" i="33"/>
  <c r="BU15" i="33" s="1"/>
  <c r="BU13" i="33" a="1"/>
  <c r="BU13" i="33" s="1"/>
  <c r="BT13" i="33" a="1"/>
  <c r="BT13" i="33" s="1"/>
  <c r="FT14" i="32"/>
  <c r="FT15" i="32" s="1"/>
  <c r="FT13" i="32" a="1"/>
  <c r="FT13" i="32" s="1"/>
  <c r="FS13" i="32" a="1"/>
  <c r="FS13" i="32" s="1"/>
  <c r="L8" i="103" l="1"/>
  <c r="L10" i="103"/>
  <c r="AA149" i="25" a="1"/>
  <c r="AA149" i="25" s="1"/>
  <c r="AA142" i="25" a="1"/>
  <c r="AA142" i="25" s="1"/>
  <c r="AA141" i="25" a="1"/>
  <c r="AA141" i="25" s="1"/>
  <c r="AA135" i="25" a="1"/>
  <c r="AA135" i="25" s="1"/>
  <c r="AA119" i="25" a="1"/>
  <c r="AA119" i="25" s="1"/>
  <c r="I29" i="25"/>
  <c r="I28" i="25"/>
  <c r="I27" i="25"/>
  <c r="K27" i="25" s="1"/>
  <c r="L27" i="25" s="1"/>
  <c r="I26" i="25"/>
  <c r="J26" i="25" s="1"/>
  <c r="J25" i="25"/>
  <c r="I25" i="25"/>
  <c r="I24" i="25"/>
  <c r="I23" i="25"/>
  <c r="J23" i="25" s="1"/>
  <c r="I22" i="25"/>
  <c r="AA136" i="25" s="1" a="1"/>
  <c r="AA136" i="25" s="1"/>
  <c r="C11" i="25"/>
  <c r="C10" i="25"/>
  <c r="I9" i="25"/>
  <c r="I13" i="25" s="1"/>
  <c r="H9" i="25"/>
  <c r="I8" i="25"/>
  <c r="C5" i="25"/>
  <c r="I30" i="25" s="1"/>
  <c r="C3" i="25"/>
  <c r="P30" i="25" l="1"/>
  <c r="P23" i="25"/>
  <c r="P26" i="25"/>
  <c r="P29" i="25"/>
  <c r="P27" i="25"/>
  <c r="P25" i="25"/>
  <c r="P28" i="25"/>
  <c r="P24" i="25"/>
  <c r="P22" i="25"/>
  <c r="P31" i="25"/>
  <c r="L24" i="25"/>
  <c r="L29" i="25"/>
  <c r="J30" i="25"/>
  <c r="K30" i="25"/>
  <c r="L30" i="25" s="1"/>
  <c r="I12" i="25"/>
  <c r="K26" i="25"/>
  <c r="J29" i="25"/>
  <c r="L26" i="25"/>
  <c r="K29" i="25"/>
  <c r="J22" i="25"/>
  <c r="K23" i="25"/>
  <c r="L23" i="25" s="1"/>
  <c r="K22" i="25"/>
  <c r="L22" i="25" s="1"/>
  <c r="AA133" i="25" a="1"/>
  <c r="AA133" i="25" s="1"/>
  <c r="K25" i="25"/>
  <c r="L25" i="25" s="1"/>
  <c r="J28" i="25"/>
  <c r="I31" i="25"/>
  <c r="K28" i="25"/>
  <c r="L28" i="25" s="1"/>
  <c r="AA134" i="25" a="1"/>
  <c r="AA134" i="25" s="1"/>
  <c r="J24" i="25"/>
  <c r="K24" i="25"/>
  <c r="J27" i="25"/>
  <c r="AA150" i="25" l="1" a="1"/>
  <c r="AA150" i="25" s="1"/>
  <c r="AA120" i="25" a="1"/>
  <c r="AA120" i="25" s="1"/>
  <c r="AA148" i="25" a="1"/>
  <c r="AA148" i="25" s="1"/>
  <c r="AA118" i="25" a="1"/>
  <c r="AA118" i="25" s="1"/>
  <c r="AA147" i="25" a="1"/>
  <c r="AA147" i="25" s="1"/>
  <c r="AA117" i="25" a="1"/>
  <c r="AA117" i="25" s="1"/>
  <c r="AA144" i="25" a="1"/>
  <c r="AA144" i="25" s="1"/>
  <c r="AA143" i="25" a="1"/>
  <c r="AA143" i="25" s="1"/>
  <c r="K31" i="25"/>
  <c r="L31" i="25" s="1"/>
  <c r="J31" i="25"/>
  <c r="M31" i="25"/>
  <c r="M28" i="25"/>
  <c r="M24" i="25"/>
  <c r="M25" i="25"/>
  <c r="M22" i="25"/>
  <c r="M29" i="25"/>
  <c r="M30" i="25"/>
  <c r="M26" i="25"/>
  <c r="M27" i="25"/>
  <c r="M23" i="25"/>
  <c r="C11" i="108" l="1"/>
  <c r="G12" i="107"/>
  <c r="Q25" i="25" l="1"/>
  <c r="R25" i="25" s="1"/>
  <c r="Q24" i="25"/>
  <c r="R24" i="25" s="1"/>
  <c r="Q31" i="25"/>
  <c r="R31" i="25" s="1"/>
  <c r="Q28" i="25"/>
  <c r="R28" i="25" s="1"/>
  <c r="Q29" i="25"/>
  <c r="R29" i="25" s="1"/>
  <c r="Q26" i="25"/>
  <c r="R26" i="25" s="1"/>
  <c r="Q27" i="25"/>
  <c r="R27" i="25" s="1"/>
  <c r="Q23" i="25"/>
  <c r="R23" i="25" s="1"/>
  <c r="Q30" i="25"/>
  <c r="R30" i="25" s="1"/>
  <c r="Q22" i="25"/>
  <c r="R22" i="25" s="1"/>
  <c r="K37" i="122" l="1"/>
  <c r="K36" i="122"/>
  <c r="K13" i="122"/>
  <c r="K8" i="122" a="1"/>
  <c r="K8" i="122" s="1"/>
  <c r="K37" i="121"/>
  <c r="K36" i="121"/>
  <c r="K13" i="121"/>
  <c r="K8" i="121" a="1"/>
  <c r="K8" i="121" s="1"/>
  <c r="K37" i="120"/>
  <c r="K36" i="120"/>
  <c r="K13" i="120"/>
  <c r="K8" i="120" a="1"/>
  <c r="K8" i="120" s="1"/>
  <c r="K37" i="119"/>
  <c r="K36" i="119"/>
  <c r="K13" i="119"/>
  <c r="K8" i="119" a="1"/>
  <c r="K8" i="119" s="1"/>
  <c r="K37" i="118"/>
  <c r="K36" i="118"/>
  <c r="K13" i="118"/>
  <c r="K8" i="118" a="1"/>
  <c r="K8" i="118" s="1"/>
  <c r="K37" i="117"/>
  <c r="K36" i="117"/>
  <c r="K13" i="117"/>
  <c r="K8" i="117" a="1"/>
  <c r="K8" i="117" s="1"/>
  <c r="K37" i="116"/>
  <c r="K36" i="116"/>
  <c r="K13" i="116"/>
  <c r="K8" i="116" a="1"/>
  <c r="K8" i="116" s="1"/>
  <c r="K37" i="115"/>
  <c r="K36" i="115"/>
  <c r="K13" i="115"/>
  <c r="K8" i="115" a="1"/>
  <c r="K8" i="115" s="1"/>
  <c r="K37" i="114"/>
  <c r="K36" i="114"/>
  <c r="K13" i="114"/>
  <c r="K8" i="114" a="1"/>
  <c r="K8" i="114" s="1"/>
  <c r="C13" i="104"/>
  <c r="K8" i="103" a="1"/>
  <c r="K8" i="103" s="1"/>
  <c r="L7" i="103"/>
  <c r="L12" i="103"/>
  <c r="B2" i="122" l="1"/>
  <c r="B2" i="121"/>
  <c r="B2" i="120"/>
  <c r="B2" i="119"/>
  <c r="B2" i="118"/>
  <c r="B2" i="117"/>
  <c r="B2" i="116"/>
  <c r="B2" i="115"/>
  <c r="B2" i="114"/>
  <c r="AK13" i="103"/>
  <c r="L11" i="103"/>
  <c r="AK14" i="103"/>
  <c r="AL14" i="103" s="1"/>
  <c r="AK15" i="103"/>
  <c r="AL15" i="103" s="1"/>
  <c r="R15" i="103"/>
  <c r="AK16" i="103"/>
  <c r="AL16" i="103" s="1"/>
  <c r="F31" i="53" a="1"/>
  <c r="F29" i="53" a="1"/>
  <c r="F28" i="53" a="1"/>
  <c r="F33" i="53" a="1"/>
  <c r="F35" i="53" a="1"/>
  <c r="F30" i="53" a="1"/>
  <c r="F32" i="53" a="1"/>
  <c r="F36" i="53" a="1"/>
  <c r="F34" i="53" a="1"/>
  <c r="F28" i="53" l="1"/>
  <c r="F35" i="53"/>
  <c r="F29" i="53"/>
  <c r="F30" i="53"/>
  <c r="F31" i="53"/>
  <c r="F32" i="53"/>
  <c r="F33" i="53"/>
  <c r="F34" i="53"/>
  <c r="F36" i="53"/>
  <c r="AL13" i="103"/>
  <c r="AM15" i="103"/>
  <c r="AM13" i="103"/>
  <c r="AM14" i="103"/>
  <c r="AM16" i="103"/>
  <c r="Q16" i="103"/>
  <c r="R16" i="103"/>
  <c r="AK17" i="103"/>
  <c r="AM17" i="103" s="1"/>
  <c r="AK18" i="103"/>
  <c r="AM18" i="103" s="1"/>
  <c r="AK19" i="103"/>
  <c r="AL19" i="103" s="1"/>
  <c r="AK20" i="103"/>
  <c r="AL20" i="103" s="1"/>
  <c r="AN13" i="103" l="1"/>
  <c r="AN18" i="103"/>
  <c r="R19" i="103"/>
  <c r="AN16" i="103"/>
  <c r="AN14" i="103"/>
  <c r="AN17" i="103"/>
  <c r="AN15" i="103"/>
  <c r="AL18" i="103"/>
  <c r="AM19" i="103"/>
  <c r="AL17" i="103"/>
  <c r="AM20" i="103"/>
  <c r="R20" i="103"/>
  <c r="AK21" i="103"/>
  <c r="AL21" i="103" s="1"/>
  <c r="AN20" i="103" l="1"/>
  <c r="AN19" i="103"/>
  <c r="AO20" i="103"/>
  <c r="AM21" i="103"/>
  <c r="AO19" i="103"/>
  <c r="AO18" i="103"/>
  <c r="AO17" i="103"/>
  <c r="AO16" i="103"/>
  <c r="AO15" i="103"/>
  <c r="AO14" i="103"/>
  <c r="AO21" i="103"/>
  <c r="AO13" i="103"/>
  <c r="AK22" i="103"/>
  <c r="AO22" i="103" l="1"/>
  <c r="AN21" i="103"/>
  <c r="BF29" i="104" s="1"/>
  <c r="AM22" i="103"/>
  <c r="AL22" i="103"/>
  <c r="BB30" i="104" s="1"/>
  <c r="BQ13" i="34" a="1"/>
  <c r="BQ13" i="34" s="1"/>
  <c r="BP13" i="34" a="1"/>
  <c r="BP13" i="34" s="1"/>
  <c r="BQ13" i="33" a="1"/>
  <c r="BQ13" i="33" s="1"/>
  <c r="BP13" i="33" a="1"/>
  <c r="BP13" i="33" s="1"/>
  <c r="FP13" i="32" a="1"/>
  <c r="FP13" i="32" s="1"/>
  <c r="FO13" i="32" a="1"/>
  <c r="FO13" i="32" s="1"/>
  <c r="BI30" i="104"/>
  <c r="AZ30" i="104"/>
  <c r="AY30" i="104"/>
  <c r="BI29" i="104"/>
  <c r="BD29" i="104"/>
  <c r="BB29" i="104"/>
  <c r="AZ29" i="104"/>
  <c r="AY29" i="104"/>
  <c r="BI28" i="104"/>
  <c r="BF28" i="104"/>
  <c r="BD28" i="104"/>
  <c r="BB28" i="104"/>
  <c r="AZ28" i="104"/>
  <c r="AY28" i="104"/>
  <c r="BI27" i="104"/>
  <c r="BF27" i="104"/>
  <c r="BD27" i="104"/>
  <c r="BB27" i="104"/>
  <c r="AZ27" i="104"/>
  <c r="AY27" i="104"/>
  <c r="BI26" i="104"/>
  <c r="BF26" i="104"/>
  <c r="BD26" i="104"/>
  <c r="BB26" i="104"/>
  <c r="AZ26" i="104"/>
  <c r="AY26" i="104"/>
  <c r="BI25" i="104"/>
  <c r="BF25" i="104"/>
  <c r="BD25" i="104"/>
  <c r="BB25" i="104"/>
  <c r="AZ25" i="104"/>
  <c r="AY25" i="104"/>
  <c r="BI24" i="104"/>
  <c r="BF24" i="104"/>
  <c r="BD24" i="104"/>
  <c r="BB24" i="104"/>
  <c r="AZ24" i="104"/>
  <c r="AY24" i="104"/>
  <c r="BI23" i="104"/>
  <c r="BF23" i="104"/>
  <c r="BD23" i="104"/>
  <c r="BB23" i="104"/>
  <c r="AZ23" i="104"/>
  <c r="AY23" i="104"/>
  <c r="BI22" i="104"/>
  <c r="BF22" i="104"/>
  <c r="BD22" i="104"/>
  <c r="BB22" i="104"/>
  <c r="AZ22" i="104"/>
  <c r="AY22" i="104"/>
  <c r="BI21" i="104"/>
  <c r="BF21" i="104"/>
  <c r="BD21" i="104"/>
  <c r="BB21" i="104"/>
  <c r="AZ21" i="104"/>
  <c r="AY21" i="104"/>
  <c r="U31" i="104"/>
  <c r="S31" i="104"/>
  <c r="C31" i="104"/>
  <c r="U30" i="104"/>
  <c r="S30" i="104"/>
  <c r="C30" i="104"/>
  <c r="U29" i="104"/>
  <c r="S29" i="104"/>
  <c r="C29" i="104"/>
  <c r="U28" i="104"/>
  <c r="C28" i="104"/>
  <c r="U27" i="104"/>
  <c r="C27" i="104"/>
  <c r="U24" i="104"/>
  <c r="S24" i="104"/>
  <c r="C24" i="104"/>
  <c r="C23" i="104"/>
  <c r="S23" i="104"/>
  <c r="U23" i="104"/>
  <c r="U22" i="104"/>
  <c r="S22" i="104"/>
  <c r="C22" i="104"/>
  <c r="C21" i="104"/>
  <c r="C20" i="104"/>
  <c r="U21" i="104"/>
  <c r="U20" i="104"/>
  <c r="S21" i="104"/>
  <c r="S20" i="104"/>
  <c r="U16" i="104"/>
  <c r="O16" i="104"/>
  <c r="I16" i="104"/>
  <c r="C16" i="104"/>
  <c r="J13" i="104"/>
  <c r="J12" i="104"/>
  <c r="J11" i="104"/>
  <c r="C6" i="104"/>
  <c r="BI13" i="34" a="1"/>
  <c r="BI13" i="34" s="1"/>
  <c r="BJ13" i="34" a="1"/>
  <c r="BJ13" i="34" s="1"/>
  <c r="BI13" i="33" a="1"/>
  <c r="BI13" i="33" s="1"/>
  <c r="BJ13" i="33" a="1"/>
  <c r="BJ13" i="33" s="1"/>
  <c r="FH13" i="32" a="1"/>
  <c r="FH13" i="32" s="1"/>
  <c r="FI13" i="32" a="1"/>
  <c r="FI13" i="32" s="1"/>
  <c r="B5" i="28" l="1" a="1"/>
  <c r="B5" i="28" s="1"/>
  <c r="AK30" i="103" a="1"/>
  <c r="AK30" i="103" s="1"/>
  <c r="AN22" i="103"/>
  <c r="BF30" i="104" s="1"/>
  <c r="BD30" i="104"/>
  <c r="J10" i="106" a="1"/>
  <c r="J10" i="106" s="1"/>
  <c r="E6" i="106" a="1"/>
  <c r="E6" i="106" s="1"/>
  <c r="J9" i="106" a="1"/>
  <c r="J9" i="106" s="1"/>
  <c r="J8" i="106" a="1"/>
  <c r="J8" i="106" s="1"/>
  <c r="S28" i="104" s="1"/>
  <c r="J7" i="106" a="1"/>
  <c r="J7" i="106" s="1"/>
  <c r="S27" i="104" s="1"/>
  <c r="R14" i="27" a="1"/>
  <c r="R14" i="27" s="1"/>
  <c r="Q14" i="27" a="1"/>
  <c r="Q14" i="27" s="1"/>
  <c r="P14" i="27" a="1"/>
  <c r="P14" i="27" s="1"/>
  <c r="O14" i="27" a="1"/>
  <c r="O14" i="27" s="1"/>
  <c r="AM30" i="103" l="1" a="1"/>
  <c r="AM30" i="103" s="1"/>
  <c r="CD12" i="104" s="1"/>
  <c r="AN30" i="103" a="1"/>
  <c r="AN30" i="103" s="1"/>
  <c r="CF12" i="104" s="1"/>
  <c r="CD17" i="104"/>
  <c r="CD13" i="104"/>
  <c r="CD16" i="104"/>
  <c r="CD14" i="104"/>
  <c r="CD15" i="104"/>
  <c r="CD19" i="104"/>
  <c r="CD18" i="104"/>
  <c r="CD20" i="104"/>
  <c r="AL30" i="103" a="1"/>
  <c r="AL30" i="103" s="1"/>
  <c r="CA12" i="104" s="1"/>
  <c r="AO30" i="103" a="1"/>
  <c r="AO30" i="103" s="1"/>
  <c r="CI12" i="104" s="1"/>
  <c r="BX12" i="104"/>
  <c r="BX13" i="104"/>
  <c r="CD21" i="104"/>
  <c r="CD22" i="104"/>
  <c r="BX19" i="104"/>
  <c r="BX14" i="104"/>
  <c r="BX21" i="104"/>
  <c r="BX18" i="104"/>
  <c r="BX17" i="104"/>
  <c r="BX16" i="104"/>
  <c r="BX20" i="104"/>
  <c r="BX22" i="104"/>
  <c r="BX15" i="104"/>
  <c r="K8" i="35" a="1"/>
  <c r="K8" i="35" s="1"/>
  <c r="K8" i="30"/>
  <c r="C7" i="105" s="1"/>
  <c r="N9" i="46" a="1"/>
  <c r="N9" i="46"/>
  <c r="C8" i="46" s="1" a="1"/>
  <c r="C8" i="46" s="1"/>
  <c r="S11" i="46" a="1"/>
  <c r="S11" i="46" s="1"/>
  <c r="J8" i="45"/>
  <c r="N9" i="45" a="1"/>
  <c r="N9" i="45" s="1"/>
  <c r="C8" i="45" s="1" a="1"/>
  <c r="C8" i="45" s="1"/>
  <c r="CF19" i="104" l="1"/>
  <c r="CF13" i="104"/>
  <c r="CF16" i="104"/>
  <c r="CF17" i="104"/>
  <c r="CF14" i="104"/>
  <c r="CF15" i="104"/>
  <c r="CF18" i="104"/>
  <c r="CF21" i="104"/>
  <c r="CF20" i="104"/>
  <c r="CA22" i="104"/>
  <c r="CA13" i="104"/>
  <c r="CA17" i="104"/>
  <c r="CA21" i="104"/>
  <c r="CA16" i="104"/>
  <c r="CA19" i="104"/>
  <c r="CA18" i="104"/>
  <c r="CA14" i="104"/>
  <c r="CA20" i="104"/>
  <c r="CA15" i="104"/>
  <c r="CI13" i="104"/>
  <c r="CI16" i="104"/>
  <c r="CI18" i="104"/>
  <c r="CI22" i="104"/>
  <c r="CI20" i="104"/>
  <c r="CI17" i="104"/>
  <c r="CI21" i="104"/>
  <c r="CI14" i="104"/>
  <c r="CI19" i="104"/>
  <c r="CI15" i="104"/>
  <c r="CF22" i="104"/>
  <c r="C6" i="30"/>
  <c r="B2" i="35"/>
  <c r="AF16" i="45" a="1"/>
  <c r="AF16" i="45" s="1"/>
  <c r="V16" i="45" a="1"/>
  <c r="V16" i="45" s="1"/>
  <c r="K13" i="35"/>
  <c r="T7" i="31"/>
  <c r="F27" i="53" a="1"/>
  <c r="F27" i="53" l="1"/>
  <c r="K21" i="121"/>
  <c r="K21" i="114"/>
  <c r="K21" i="116"/>
  <c r="K21" i="119"/>
  <c r="K21" i="118"/>
  <c r="K21" i="120"/>
  <c r="K21" i="117"/>
  <c r="K21" i="122"/>
  <c r="K21" i="115"/>
  <c r="K23" i="114"/>
  <c r="K23" i="116"/>
  <c r="K23" i="121"/>
  <c r="K23" i="118"/>
  <c r="K23" i="120"/>
  <c r="K23" i="115"/>
  <c r="K23" i="122"/>
  <c r="K23" i="117"/>
  <c r="K23" i="119"/>
  <c r="K22" i="114"/>
  <c r="K22" i="119"/>
  <c r="K22" i="121"/>
  <c r="K22" i="116"/>
  <c r="K22" i="118"/>
  <c r="K22" i="120"/>
  <c r="K22" i="117"/>
  <c r="K22" i="122"/>
  <c r="K22" i="115"/>
  <c r="K22" i="35"/>
  <c r="T10" i="31"/>
  <c r="K23" i="35"/>
  <c r="AA25" i="117" l="1"/>
  <c r="AA24" i="117"/>
  <c r="AA25" i="119"/>
  <c r="AA24" i="119"/>
  <c r="AA25" i="122"/>
  <c r="AA24" i="122"/>
  <c r="AA25" i="116"/>
  <c r="AA24" i="116"/>
  <c r="AA25" i="118"/>
  <c r="AA24" i="118"/>
  <c r="AA25" i="114"/>
  <c r="AA24" i="114"/>
  <c r="AA25" i="115"/>
  <c r="AA24" i="115"/>
  <c r="AA25" i="120"/>
  <c r="AA24" i="120"/>
  <c r="AA25" i="121"/>
  <c r="AA24" i="121"/>
  <c r="K21" i="35"/>
  <c r="Z11" i="31" a="1"/>
  <c r="Z11" i="31" s="1"/>
  <c r="AS11" i="31" s="1" a="1"/>
  <c r="AS11" i="31" s="1"/>
  <c r="Q11" i="30" a="1"/>
  <c r="Q11" i="30" s="1"/>
  <c r="P11" i="30" a="1"/>
  <c r="Y11" i="31" a="1"/>
  <c r="Y11" i="31" s="1"/>
  <c r="AR11" i="31" s="1" a="1"/>
  <c r="AR11" i="31" s="1"/>
  <c r="AH11" i="31" a="1"/>
  <c r="AH11" i="31" s="1"/>
  <c r="BA11" i="31" s="1" a="1"/>
  <c r="BA11" i="31" s="1"/>
  <c r="Y11" i="30" a="1"/>
  <c r="Y11" i="30" s="1"/>
  <c r="AD11" i="31" a="1"/>
  <c r="AD11" i="31" s="1"/>
  <c r="AW11" i="31" s="1" a="1"/>
  <c r="AW11" i="31" s="1"/>
  <c r="U11" i="30" a="1"/>
  <c r="U11" i="30" s="1"/>
  <c r="X11" i="30" a="1"/>
  <c r="AG11" i="31" a="1"/>
  <c r="AG11" i="31" s="1"/>
  <c r="AZ11" i="31" s="1" a="1"/>
  <c r="AZ11" i="31" s="1"/>
  <c r="T11" i="30" a="1"/>
  <c r="AC11" i="31" a="1"/>
  <c r="AC11" i="31" s="1"/>
  <c r="AV11" i="31" s="1" a="1"/>
  <c r="AV11" i="31" s="1"/>
  <c r="AA25" i="35" l="1"/>
  <c r="AA24" i="35"/>
  <c r="AR15" i="116" a="1"/>
  <c r="AR15" i="116" s="1"/>
  <c r="AU15" i="114" a="1"/>
  <c r="AU15" i="114" s="1"/>
  <c r="AR15" i="114" a="1"/>
  <c r="AR15" i="114" s="1"/>
  <c r="AU15" i="118" a="1"/>
  <c r="AU15" i="118" s="1"/>
  <c r="AR15" i="118" a="1"/>
  <c r="AR15" i="118" s="1"/>
  <c r="AU15" i="116" a="1"/>
  <c r="AU15" i="116" s="1"/>
  <c r="AR15" i="120" a="1"/>
  <c r="AR15" i="120" s="1"/>
  <c r="AU15" i="120" a="1"/>
  <c r="AU15" i="120" s="1"/>
  <c r="AU15" i="122" a="1"/>
  <c r="AU15" i="122" s="1"/>
  <c r="AR15" i="122" a="1"/>
  <c r="AR15" i="122" s="1"/>
  <c r="AR15" i="119" a="1"/>
  <c r="AR15" i="119" s="1"/>
  <c r="AU15" i="119" a="1"/>
  <c r="AU15" i="119" s="1"/>
  <c r="AR15" i="115" a="1"/>
  <c r="AR15" i="115" s="1"/>
  <c r="AU15" i="115" a="1"/>
  <c r="AU15" i="115" s="1"/>
  <c r="AU15" i="121" a="1"/>
  <c r="AU15" i="121" s="1"/>
  <c r="AR15" i="121" a="1"/>
  <c r="AR15" i="121" s="1"/>
  <c r="AU15" i="117" a="1"/>
  <c r="AU15" i="117" s="1"/>
  <c r="AR15" i="117" a="1"/>
  <c r="AR15" i="117" s="1"/>
  <c r="AU15" i="35" a="1"/>
  <c r="AU15" i="35" s="1"/>
  <c r="J11" i="31" a="1"/>
  <c r="J11" i="31" s="1"/>
  <c r="I11" i="31" a="1"/>
  <c r="I11" i="31" s="1"/>
  <c r="M11" i="31" a="1"/>
  <c r="M11" i="31" s="1"/>
  <c r="E11" i="31" a="1"/>
  <c r="E11" i="31" s="1"/>
  <c r="F11" i="31" a="1"/>
  <c r="F11" i="31" s="1"/>
  <c r="X11" i="30"/>
  <c r="AE10" i="30" s="1"/>
  <c r="P11" i="30"/>
  <c r="AE8" i="30" s="1"/>
  <c r="T11" i="30"/>
  <c r="AE9" i="30" s="1"/>
  <c r="N11" i="31" a="1"/>
  <c r="N11" i="31" s="1"/>
  <c r="AD8" i="30" l="1" a="1"/>
  <c r="AD8" i="30" s="1"/>
  <c r="F14" i="105"/>
  <c r="AR15" i="35" a="1"/>
  <c r="AR15" i="35" s="1"/>
  <c r="K11" i="33" a="1"/>
  <c r="K11" i="33" s="1"/>
  <c r="P11" i="33" s="1" a="1"/>
  <c r="P11" i="33" s="1"/>
  <c r="K11" i="32" a="1"/>
  <c r="K11" i="32" s="1"/>
  <c r="P11" i="32" s="1" a="1"/>
  <c r="P11" i="32" s="1"/>
  <c r="FL14" i="32" s="1" a="1"/>
  <c r="FL14" i="32" s="1"/>
  <c r="J11" i="33" a="1"/>
  <c r="J11" i="33" s="1"/>
  <c r="Q11" i="33" s="1" a="1"/>
  <c r="Q11" i="33" s="1"/>
  <c r="J11" i="32" a="1"/>
  <c r="J11" i="32" s="1"/>
  <c r="Q11" i="32" s="1" a="1"/>
  <c r="Q11" i="32" s="1"/>
  <c r="J11" i="34" a="1"/>
  <c r="J11" i="34" s="1"/>
  <c r="Q11" i="34" s="1" a="1"/>
  <c r="Q11" i="34" s="1"/>
  <c r="K11" i="34" a="1"/>
  <c r="K11" i="34" s="1"/>
  <c r="F13" i="105"/>
  <c r="BA9" i="32" l="1"/>
  <c r="AX14" i="32" a="1"/>
  <c r="AX14" i="32" s="1"/>
  <c r="FM14" i="32" a="1"/>
  <c r="FM14" i="32" s="1"/>
  <c r="BA10" i="32"/>
  <c r="BA14" i="32" s="1" a="1"/>
  <c r="BA14" i="32" s="1"/>
  <c r="BA10" i="34"/>
  <c r="E15" i="34" s="1"/>
  <c r="J30" i="45" s="1"/>
  <c r="BA9" i="34"/>
  <c r="E14" i="34" s="1"/>
  <c r="J29" i="45" s="1"/>
  <c r="E14" i="32"/>
  <c r="BN14" i="33" a="1"/>
  <c r="BN14" i="33" s="1"/>
  <c r="BA10" i="33"/>
  <c r="BA9" i="33"/>
  <c r="E14" i="33" s="1"/>
  <c r="J19" i="45" s="1"/>
  <c r="F12" i="105"/>
  <c r="AX14" i="34" a="1"/>
  <c r="AX14" i="34" s="1"/>
  <c r="BN14" i="34" a="1"/>
  <c r="BN14" i="34" s="1"/>
  <c r="T14" i="33" a="1"/>
  <c r="T14" i="33" s="1"/>
  <c r="BM14" i="33" a="1"/>
  <c r="BM14" i="33" s="1"/>
  <c r="U14" i="32" a="1"/>
  <c r="U14" i="32" s="1"/>
  <c r="AX14" i="33" a="1"/>
  <c r="AX14" i="33" s="1"/>
  <c r="U14" i="33" a="1"/>
  <c r="U14" i="33" s="1"/>
  <c r="P11" i="34" a="1"/>
  <c r="P11" i="34" s="1"/>
  <c r="U14" i="34" a="1"/>
  <c r="U14" i="34" s="1"/>
  <c r="FF14" i="32" l="1" a="1"/>
  <c r="FF14" i="32" s="1"/>
  <c r="EG10" i="32" a="1"/>
  <c r="EG10" i="32" s="1"/>
  <c r="DD12" i="32" s="1" a="1"/>
  <c r="DD12" i="32" s="1"/>
  <c r="T10" i="33" a="1"/>
  <c r="T10" i="33" s="1"/>
  <c r="AW14" i="33" s="1" a="1"/>
  <c r="AW14" i="33" s="1"/>
  <c r="BA14" i="34" a="1"/>
  <c r="BA14" i="34" s="1"/>
  <c r="BG14" i="34" s="1" a="1"/>
  <c r="BG14" i="34" s="1"/>
  <c r="E15" i="32"/>
  <c r="K16" i="118"/>
  <c r="K16" i="116"/>
  <c r="K16" i="114"/>
  <c r="K16" i="122"/>
  <c r="K16" i="121"/>
  <c r="K16" i="115"/>
  <c r="K16" i="119"/>
  <c r="K16" i="117"/>
  <c r="K16" i="120"/>
  <c r="E15" i="33"/>
  <c r="J20" i="45" s="1"/>
  <c r="BA14" i="33" a="1"/>
  <c r="BA14" i="33" s="1"/>
  <c r="K11" i="117" a="1"/>
  <c r="K11" i="117" s="1"/>
  <c r="K11" i="116" a="1"/>
  <c r="K11" i="116" s="1"/>
  <c r="K11" i="119" a="1"/>
  <c r="K11" i="119" s="1"/>
  <c r="K11" i="122" a="1"/>
  <c r="K11" i="122" s="1"/>
  <c r="K11" i="118" a="1"/>
  <c r="K11" i="118" s="1"/>
  <c r="K11" i="114" a="1"/>
  <c r="K11" i="114" s="1"/>
  <c r="K11" i="121" a="1"/>
  <c r="K11" i="121" s="1"/>
  <c r="K11" i="115" a="1"/>
  <c r="K11" i="115" s="1"/>
  <c r="K11" i="120" a="1"/>
  <c r="K11" i="120" s="1"/>
  <c r="P9" i="45" a="1"/>
  <c r="P9" i="45" s="1"/>
  <c r="K10" i="119" a="1"/>
  <c r="K10" i="119" s="1"/>
  <c r="K10" i="115" a="1"/>
  <c r="K10" i="115" s="1"/>
  <c r="K10" i="118" a="1"/>
  <c r="K10" i="118" s="1"/>
  <c r="K10" i="117" a="1"/>
  <c r="K10" i="117" s="1"/>
  <c r="K10" i="122" a="1"/>
  <c r="K10" i="122" s="1"/>
  <c r="K10" i="114" a="1"/>
  <c r="K10" i="114" s="1"/>
  <c r="K10" i="116" a="1"/>
  <c r="K10" i="116" s="1"/>
  <c r="K10" i="121" a="1"/>
  <c r="K10" i="121" s="1"/>
  <c r="K10" i="120" a="1"/>
  <c r="K10" i="120" s="1"/>
  <c r="T14" i="34" a="1"/>
  <c r="T14" i="34" s="1"/>
  <c r="T10" i="34" s="1" a="1"/>
  <c r="T10" i="34" s="1"/>
  <c r="BM14" i="34" a="1"/>
  <c r="BM14" i="34" s="1"/>
  <c r="T14" i="32" a="1"/>
  <c r="T14" i="32" s="1"/>
  <c r="T10" i="32" s="1" a="1"/>
  <c r="E13" i="105"/>
  <c r="E14" i="105"/>
  <c r="E9" i="30"/>
  <c r="E8" i="30"/>
  <c r="K11" i="35" a="1"/>
  <c r="K11" i="35" s="1"/>
  <c r="K10" i="35" a="1"/>
  <c r="K10" i="35" s="1"/>
  <c r="Q9" i="45" a="1"/>
  <c r="Q9" i="45" s="1"/>
  <c r="AI16" i="45" s="1" a="1"/>
  <c r="AI16" i="45" s="1"/>
  <c r="BG15" i="32" l="1"/>
  <c r="BG14" i="32"/>
  <c r="BG13" i="32"/>
  <c r="Y14" i="33" a="1"/>
  <c r="Y14" i="33" s="1"/>
  <c r="Z14" i="33" s="1" a="1"/>
  <c r="Z14" i="33" s="1"/>
  <c r="AA14" i="33" s="1" a="1"/>
  <c r="AA14" i="33" s="1"/>
  <c r="E7" i="33" a="1"/>
  <c r="E7" i="33" s="1"/>
  <c r="J13" i="45" s="1"/>
  <c r="AZ14" i="33" a="1"/>
  <c r="AZ14" i="33" s="1"/>
  <c r="BF14" i="33" s="1" a="1"/>
  <c r="BF14" i="33" s="1"/>
  <c r="BI14" i="33" s="1" a="1"/>
  <c r="BI14" i="33" s="1"/>
  <c r="BG14" i="33" a="1"/>
  <c r="BG14" i="33" s="1"/>
  <c r="EJ9" i="32"/>
  <c r="K17" i="114"/>
  <c r="R21" i="114" s="1"/>
  <c r="K17" i="116"/>
  <c r="R21" i="116" s="1"/>
  <c r="K17" i="121"/>
  <c r="R21" i="121" s="1"/>
  <c r="K17" i="115"/>
  <c r="R21" i="115" s="1"/>
  <c r="K17" i="120"/>
  <c r="R21" i="120" s="1"/>
  <c r="K17" i="119"/>
  <c r="R21" i="119" s="1"/>
  <c r="K17" i="118"/>
  <c r="R21" i="118" s="1"/>
  <c r="R21" i="35"/>
  <c r="K17" i="117"/>
  <c r="R21" i="117" s="1"/>
  <c r="K17" i="122"/>
  <c r="R21" i="122" s="1"/>
  <c r="R9" i="122"/>
  <c r="R9" i="114"/>
  <c r="R9" i="118"/>
  <c r="R9" i="115"/>
  <c r="R9" i="117"/>
  <c r="R9" i="120"/>
  <c r="R9" i="119"/>
  <c r="R9" i="121"/>
  <c r="R9" i="116"/>
  <c r="E7" i="30"/>
  <c r="E12" i="105"/>
  <c r="D8" i="105" s="1"/>
  <c r="T10" i="32"/>
  <c r="Y14" i="34" a="1"/>
  <c r="Y14" i="34" s="1"/>
  <c r="Z14" i="34" s="1" a="1"/>
  <c r="Z14" i="34" s="1"/>
  <c r="AA14" i="34" s="1" a="1"/>
  <c r="AA14" i="34" s="1"/>
  <c r="AZ14" i="34" a="1"/>
  <c r="AZ14" i="34" s="1"/>
  <c r="BF14" i="34" s="1" a="1"/>
  <c r="BF14" i="34" s="1"/>
  <c r="BI14" i="34" s="1" a="1"/>
  <c r="BI14" i="34" s="1"/>
  <c r="AW14" i="34" a="1"/>
  <c r="AW14" i="34" s="1"/>
  <c r="AN16" i="45" a="1"/>
  <c r="AN16" i="45" s="1"/>
  <c r="AB16" i="45" a="1"/>
  <c r="AB16" i="45" s="1"/>
  <c r="E7" i="34" a="1"/>
  <c r="J26" i="45" s="1"/>
  <c r="R9" i="35"/>
  <c r="J17" i="45" l="1"/>
  <c r="J15" i="45"/>
  <c r="J16" i="45"/>
  <c r="J14" i="45"/>
  <c r="Y14" i="32" a="1"/>
  <c r="Y14" i="32" s="1"/>
  <c r="Z14" i="32" s="1" a="1"/>
  <c r="Z14" i="32" s="1"/>
  <c r="AA14" i="32" s="1" a="1"/>
  <c r="AA14" i="32" s="1"/>
  <c r="BG12" i="32"/>
  <c r="DC12" i="32" s="1" a="1"/>
  <c r="DC12" i="32" s="1"/>
  <c r="AW14" i="32" a="1"/>
  <c r="AW14" i="32" s="1"/>
  <c r="AZ14" i="32" a="1"/>
  <c r="AZ14" i="32" s="1"/>
  <c r="FE14" i="32" s="1" a="1"/>
  <c r="FE14" i="32" s="1"/>
  <c r="FH14" i="32" s="1" a="1"/>
  <c r="FH14" i="32" s="1"/>
  <c r="EJ8" i="32"/>
  <c r="DU26" i="32"/>
  <c r="E7" i="34"/>
  <c r="J23" i="45" s="1"/>
  <c r="J25" i="45"/>
  <c r="J27" i="45"/>
  <c r="J24" i="45"/>
  <c r="BR14" i="32" l="1" a="1"/>
  <c r="BR14" i="32" s="1"/>
  <c r="BR29" i="32" s="1"/>
  <c r="BR62" i="32" s="1"/>
  <c r="DU20" i="32"/>
  <c r="DU13" i="32"/>
  <c r="BR28" i="32" l="1"/>
  <c r="BR89" i="32" s="1"/>
  <c r="BR113" i="32" l="1"/>
  <c r="BR111" i="32"/>
  <c r="BR112" i="32"/>
  <c r="BR63" i="32"/>
  <c r="BR73" i="32" s="1"/>
  <c r="BR74" i="32" s="1"/>
  <c r="BR75" i="32" l="1"/>
  <c r="BR69" i="32"/>
  <c r="BR81" i="32" s="1"/>
  <c r="BR117" i="32" s="1"/>
  <c r="BR129" i="32" s="1"/>
  <c r="BR135" i="32" s="1" a="1"/>
  <c r="BR135" i="32" s="1"/>
  <c r="BR139" i="32" s="1"/>
  <c r="BR70" i="32" l="1"/>
  <c r="BR83" i="32" s="1"/>
  <c r="BR119" i="32" s="1"/>
  <c r="BR131" i="32" s="1"/>
  <c r="BR137" i="32" s="1" a="1"/>
  <c r="BR137" i="32" s="1"/>
  <c r="BR141" i="32" s="1"/>
  <c r="DU9" i="32"/>
  <c r="BR71" i="32"/>
  <c r="BR82" i="32" s="1"/>
  <c r="BR118" i="32" s="1"/>
  <c r="BR130" i="32" s="1"/>
  <c r="BR136" i="32" s="1" a="1"/>
  <c r="BR136" i="32" s="1"/>
  <c r="BR140" i="32" s="1"/>
  <c r="DU11" i="32" l="1"/>
  <c r="DU10" i="32"/>
  <c r="ED9" i="32" l="1" a="1"/>
  <c r="ED9" i="32" s="1"/>
  <c r="EN9" i="32" s="1" a="1"/>
  <c r="EN9" i="32" s="1"/>
  <c r="EU8" i="32" s="1"/>
  <c r="EZ8" i="32" s="1" a="1"/>
  <c r="EZ8" i="32" s="1"/>
  <c r="E7" i="32" s="1" a="1"/>
  <c r="EO9" i="32" l="1" a="1"/>
  <c r="EO9" i="32" s="1"/>
  <c r="EQ9" i="32" s="1"/>
  <c r="EP9" i="32" s="1"/>
  <c r="E19" i="32" s="1"/>
  <c r="K33" i="118" s="1"/>
  <c r="EU7" i="32"/>
  <c r="E18" i="32" s="1"/>
  <c r="K32" i="35" s="1"/>
  <c r="K30" i="115"/>
  <c r="AA17" i="115" s="1"/>
  <c r="K28" i="116"/>
  <c r="AA19" i="116" s="1"/>
  <c r="K27" i="117"/>
  <c r="AA20" i="117" s="1"/>
  <c r="K29" i="114"/>
  <c r="AA18" i="114" s="1"/>
  <c r="K29" i="117"/>
  <c r="AA18" i="117" s="1"/>
  <c r="K30" i="35"/>
  <c r="AA17" i="35" s="1"/>
  <c r="K27" i="121"/>
  <c r="AA20" i="121" s="1"/>
  <c r="K27" i="120"/>
  <c r="AA20" i="120" s="1"/>
  <c r="K28" i="117"/>
  <c r="AA19" i="117" s="1"/>
  <c r="K27" i="115"/>
  <c r="AA20" i="115" s="1"/>
  <c r="K29" i="115"/>
  <c r="AA18" i="115" s="1"/>
  <c r="K30" i="122"/>
  <c r="AA17" i="122" s="1"/>
  <c r="K28" i="115"/>
  <c r="AA19" i="115" s="1"/>
  <c r="K29" i="120"/>
  <c r="AA18" i="120" s="1"/>
  <c r="K29" i="122"/>
  <c r="AA18" i="122" s="1"/>
  <c r="K28" i="35"/>
  <c r="AA19" i="35" s="1"/>
  <c r="K30" i="116"/>
  <c r="AA17" i="116" s="1"/>
  <c r="K29" i="35"/>
  <c r="AA18" i="35" s="1"/>
  <c r="K27" i="119"/>
  <c r="AA20" i="119" s="1"/>
  <c r="K27" i="118"/>
  <c r="AA20" i="118" s="1"/>
  <c r="K28" i="114"/>
  <c r="AA19" i="114" s="1"/>
  <c r="K30" i="114"/>
  <c r="AA17" i="114" s="1"/>
  <c r="K30" i="121"/>
  <c r="AA17" i="121" s="1"/>
  <c r="K27" i="114"/>
  <c r="AA20" i="114" s="1"/>
  <c r="K27" i="116"/>
  <c r="AA20" i="116" s="1"/>
  <c r="K30" i="120"/>
  <c r="AA17" i="120" s="1"/>
  <c r="K29" i="121"/>
  <c r="AA18" i="121" s="1"/>
  <c r="K30" i="119"/>
  <c r="AA17" i="119" s="1"/>
  <c r="K30" i="118"/>
  <c r="AA17" i="118" s="1"/>
  <c r="K28" i="121"/>
  <c r="AA19" i="121" s="1"/>
  <c r="K27" i="35"/>
  <c r="AA20" i="35" s="1"/>
  <c r="K28" i="122"/>
  <c r="AA19" i="122" s="1"/>
  <c r="K28" i="120"/>
  <c r="AA19" i="120" s="1"/>
  <c r="E7" i="32"/>
  <c r="K26" i="114" s="1"/>
  <c r="AA21" i="114" s="1"/>
  <c r="K29" i="118"/>
  <c r="AA18" i="118" s="1"/>
  <c r="K28" i="119"/>
  <c r="AA19" i="119" s="1"/>
  <c r="K27" i="122"/>
  <c r="AA20" i="122" s="1"/>
  <c r="K28" i="118"/>
  <c r="AA19" i="118" s="1"/>
  <c r="K29" i="116"/>
  <c r="AA18" i="116" s="1"/>
  <c r="K29" i="119"/>
  <c r="AA18" i="119" s="1"/>
  <c r="K30" i="117"/>
  <c r="AA17" i="117" s="1"/>
  <c r="K32" i="116"/>
  <c r="K32" i="115"/>
  <c r="K32" i="117"/>
  <c r="K26" i="118" l="1"/>
  <c r="AA21" i="118" s="1"/>
  <c r="AT15" i="118" s="1" a="1"/>
  <c r="AT15" i="118" s="1"/>
  <c r="K33" i="119"/>
  <c r="K26" i="121"/>
  <c r="AA21" i="121" s="1"/>
  <c r="AT15" i="121" s="1" a="1"/>
  <c r="AT15" i="121" s="1"/>
  <c r="K33" i="114"/>
  <c r="K33" i="115"/>
  <c r="K26" i="116"/>
  <c r="AA21" i="116" s="1"/>
  <c r="AA28" i="116" s="1" a="1"/>
  <c r="AA28" i="116" s="1"/>
  <c r="K33" i="122"/>
  <c r="K33" i="120"/>
  <c r="K26" i="122"/>
  <c r="AA21" i="122" s="1"/>
  <c r="AQ15" i="122" s="1" a="1"/>
  <c r="AQ15" i="122" s="1"/>
  <c r="K32" i="118"/>
  <c r="R24" i="118" s="1"/>
  <c r="K26" i="119"/>
  <c r="AA21" i="119" s="1"/>
  <c r="AQ15" i="119" s="1" a="1"/>
  <c r="AQ15" i="119" s="1"/>
  <c r="K33" i="121"/>
  <c r="R24" i="121" s="1"/>
  <c r="K26" i="115"/>
  <c r="AA21" i="115" s="1"/>
  <c r="AT15" i="115" s="1" a="1"/>
  <c r="AT15" i="115" s="1"/>
  <c r="K32" i="119"/>
  <c r="R24" i="119" s="1"/>
  <c r="K32" i="120"/>
  <c r="R24" i="120" s="1"/>
  <c r="K32" i="122"/>
  <c r="K26" i="120"/>
  <c r="AA21" i="120" s="1"/>
  <c r="AA28" i="120" s="1" a="1"/>
  <c r="AA28" i="120" s="1"/>
  <c r="K32" i="121"/>
  <c r="K32" i="114"/>
  <c r="K33" i="35"/>
  <c r="K33" i="116"/>
  <c r="R24" i="116" s="1"/>
  <c r="K33" i="117"/>
  <c r="R24" i="117" s="1"/>
  <c r="K26" i="35"/>
  <c r="AA36" i="114" a="1"/>
  <c r="AA36" i="114" s="1"/>
  <c r="AA35" i="114" s="1"/>
  <c r="K26" i="117"/>
  <c r="AA21" i="117" s="1"/>
  <c r="AT15" i="117" s="1" a="1"/>
  <c r="AT15" i="117" s="1"/>
  <c r="R24" i="35"/>
  <c r="AA29" i="114" a="1"/>
  <c r="AA29" i="114" s="1"/>
  <c r="R24" i="114"/>
  <c r="R24" i="115"/>
  <c r="AQ15" i="114" a="1"/>
  <c r="AQ15" i="114" s="1"/>
  <c r="AA28" i="114" a="1"/>
  <c r="AA28" i="114" s="1"/>
  <c r="AT15" i="114" a="1"/>
  <c r="AT15" i="114" s="1"/>
  <c r="AA21" i="35"/>
  <c r="AT15" i="35" s="1" a="1"/>
  <c r="AT15" i="35" s="1"/>
  <c r="AQ15" i="120" l="1" a="1"/>
  <c r="AQ15" i="120" s="1"/>
  <c r="AA36" i="120" a="1"/>
  <c r="AA36" i="120" s="1"/>
  <c r="AA35" i="120" s="1"/>
  <c r="AA28" i="118" a="1"/>
  <c r="AA28" i="118" s="1"/>
  <c r="AA36" i="121" a="1"/>
  <c r="AA36" i="121" s="1"/>
  <c r="AA35" i="121" s="1"/>
  <c r="AA36" i="118" a="1"/>
  <c r="AA36" i="118" s="1"/>
  <c r="AA35" i="118" s="1"/>
  <c r="R24" i="122"/>
  <c r="AA28" i="121" a="1"/>
  <c r="AA28" i="121" s="1"/>
  <c r="AQ15" i="118" a="1"/>
  <c r="AQ15" i="118" s="1"/>
  <c r="AA29" i="118" a="1"/>
  <c r="AA29" i="118" s="1"/>
  <c r="AQ15" i="121" a="1"/>
  <c r="AQ15" i="121" s="1"/>
  <c r="AA29" i="120" a="1"/>
  <c r="AA29" i="120" s="1"/>
  <c r="AA31" i="120" s="1"/>
  <c r="AT15" i="120" a="1"/>
  <c r="AT15" i="120" s="1"/>
  <c r="AA29" i="121" a="1"/>
  <c r="AA29" i="121" s="1"/>
  <c r="AA36" i="122" a="1"/>
  <c r="AA36" i="122" s="1"/>
  <c r="AA35" i="122" s="1"/>
  <c r="AA36" i="116" a="1"/>
  <c r="AA36" i="116" s="1"/>
  <c r="AA35" i="116" s="1"/>
  <c r="AT15" i="116" a="1"/>
  <c r="AT15" i="116" s="1"/>
  <c r="AA29" i="116" a="1"/>
  <c r="AA29" i="116" s="1"/>
  <c r="AA32" i="116" s="1"/>
  <c r="AQ15" i="116" a="1"/>
  <c r="AQ15" i="116" s="1"/>
  <c r="AA36" i="119" a="1"/>
  <c r="AA36" i="119" s="1"/>
  <c r="AA35" i="119" s="1"/>
  <c r="AT15" i="122" a="1"/>
  <c r="AT15" i="122" s="1"/>
  <c r="AA29" i="122" a="1"/>
  <c r="AA29" i="122" s="1"/>
  <c r="AA28" i="122" a="1"/>
  <c r="AA28" i="122" s="1"/>
  <c r="AA29" i="119" a="1"/>
  <c r="AA29" i="119" s="1"/>
  <c r="AA29" i="115" a="1"/>
  <c r="AA29" i="115" s="1"/>
  <c r="AT15" i="119" a="1"/>
  <c r="AT15" i="119" s="1"/>
  <c r="AQ15" i="115" a="1"/>
  <c r="AQ15" i="115" s="1"/>
  <c r="AA36" i="115" a="1"/>
  <c r="AA36" i="115" s="1"/>
  <c r="AA35" i="115" s="1"/>
  <c r="AA28" i="115" a="1"/>
  <c r="AA28" i="115" s="1"/>
  <c r="AA28" i="119" a="1"/>
  <c r="AA28" i="119" s="1"/>
  <c r="AA36" i="35" a="1"/>
  <c r="AA36" i="35" s="1"/>
  <c r="AA35" i="35" s="1"/>
  <c r="AA36" i="117" a="1"/>
  <c r="AA36" i="117" s="1"/>
  <c r="AA35" i="117" s="1"/>
  <c r="AQ15" i="117" a="1"/>
  <c r="AQ15" i="117" s="1"/>
  <c r="AA28" i="117" a="1"/>
  <c r="AA28" i="117" s="1"/>
  <c r="AA29" i="117" a="1"/>
  <c r="AA29" i="117" s="1"/>
  <c r="AA30" i="114"/>
  <c r="AA31" i="114"/>
  <c r="AA32" i="114"/>
  <c r="AQ15" i="35" a="1"/>
  <c r="AQ15" i="35" s="1"/>
  <c r="AA29" i="35" a="1"/>
  <c r="AA29" i="35" s="1"/>
  <c r="AA28" i="35" a="1"/>
  <c r="AA28" i="35" s="1"/>
  <c r="AY7" i="114" l="1"/>
  <c r="D6" i="114" s="1"/>
  <c r="AA30" i="118"/>
  <c r="AA32" i="118"/>
  <c r="AA31" i="118"/>
  <c r="AA32" i="121"/>
  <c r="AA30" i="121"/>
  <c r="AA31" i="116"/>
  <c r="AA31" i="121"/>
  <c r="AA32" i="120"/>
  <c r="AA30" i="120"/>
  <c r="AY7" i="120" s="1"/>
  <c r="D6" i="120" s="1"/>
  <c r="AA32" i="115"/>
  <c r="AA30" i="116"/>
  <c r="AA30" i="119"/>
  <c r="AA30" i="122"/>
  <c r="AA31" i="119"/>
  <c r="AA32" i="119"/>
  <c r="AA31" i="115"/>
  <c r="AA30" i="115"/>
  <c r="AA31" i="122"/>
  <c r="AA32" i="122"/>
  <c r="AA31" i="117"/>
  <c r="AA30" i="117"/>
  <c r="AA32" i="117"/>
  <c r="AA32" i="35"/>
  <c r="AA30" i="35"/>
  <c r="AA31" i="35"/>
  <c r="AQ20" i="103" a="1"/>
  <c r="AQ14" i="103" a="1"/>
  <c r="AQ14" i="103" l="1"/>
  <c r="AR14" i="103" s="1"/>
  <c r="BQ22" i="104" s="1"/>
  <c r="AQ20" i="103"/>
  <c r="AY7" i="122"/>
  <c r="D6" i="122" s="1"/>
  <c r="AY7" i="116"/>
  <c r="D6" i="116" s="1"/>
  <c r="AY7" i="115"/>
  <c r="D6" i="115" s="1"/>
  <c r="AY7" i="117"/>
  <c r="D6" i="117" s="1"/>
  <c r="AY7" i="119"/>
  <c r="D6" i="119" s="1"/>
  <c r="AY7" i="121"/>
  <c r="D6" i="121" s="1"/>
  <c r="AY7" i="118"/>
  <c r="D6" i="118" s="1"/>
  <c r="AY7" i="35"/>
  <c r="D6" i="35" s="1"/>
  <c r="AR20" i="103"/>
  <c r="BQ28" i="104" s="1"/>
  <c r="AQ13" i="103" a="1"/>
  <c r="AQ22" i="103" a="1"/>
  <c r="AQ19" i="103" a="1"/>
  <c r="AQ21" i="103" a="1"/>
  <c r="O9" i="45" a="1"/>
  <c r="AQ17" i="103" a="1"/>
  <c r="AQ16" i="103" a="1"/>
  <c r="AQ18" i="103" a="1"/>
  <c r="AQ15" i="103" a="1"/>
  <c r="AQ21" i="103" l="1"/>
  <c r="AR21" i="103" s="1"/>
  <c r="BQ29" i="104" s="1"/>
  <c r="AQ15" i="103"/>
  <c r="AQ17" i="103"/>
  <c r="AR17" i="103" s="1"/>
  <c r="BQ25" i="104" s="1"/>
  <c r="AQ18" i="103"/>
  <c r="AR18" i="103" s="1"/>
  <c r="BQ26" i="104" s="1"/>
  <c r="AQ19" i="103"/>
  <c r="AR19" i="103" s="1"/>
  <c r="BQ27" i="104" s="1"/>
  <c r="AQ16" i="103"/>
  <c r="AR16" i="103" s="1"/>
  <c r="BQ24" i="104" s="1"/>
  <c r="AQ22" i="103"/>
  <c r="AR22" i="103" s="1"/>
  <c r="BQ30" i="104" s="1"/>
  <c r="AQ13" i="103"/>
  <c r="BO22" i="104"/>
  <c r="O9" i="45"/>
  <c r="W5" i="45" s="1" a="1"/>
  <c r="W5" i="45" s="1"/>
  <c r="AR15" i="103"/>
  <c r="BQ23" i="104" s="1"/>
  <c r="BO28" i="104"/>
  <c r="AM16" i="45" a="1"/>
  <c r="AM16" i="45" s="1"/>
  <c r="AL16" i="45" s="1" a="1"/>
  <c r="AL16" i="45" s="1"/>
  <c r="AK16" i="45" s="1" a="1"/>
  <c r="AK16" i="45" s="1"/>
  <c r="AA16" i="45" a="1"/>
  <c r="AA16" i="45" s="1"/>
  <c r="Z16" i="45" s="1" a="1"/>
  <c r="Z16" i="45" s="1"/>
  <c r="Y16" i="45" s="1" a="1"/>
  <c r="Y16" i="45" s="1"/>
  <c r="AR13" i="103" l="1"/>
  <c r="BQ21" i="104" s="1"/>
  <c r="BO24" i="104"/>
  <c r="BO29" i="104"/>
  <c r="BO30" i="104"/>
  <c r="BO26" i="104"/>
  <c r="BO21" i="104"/>
  <c r="BO23" i="104"/>
  <c r="BO27" i="104"/>
  <c r="BO25" i="104"/>
  <c r="AJ16" i="45" a="1"/>
  <c r="AJ16" i="45" s="1"/>
  <c r="AH16" i="45" s="1" a="1"/>
  <c r="AH16" i="45" s="1"/>
  <c r="AG16" i="45" s="1" a="1"/>
  <c r="AG16" i="45" s="1"/>
  <c r="X16" i="45" a="1"/>
  <c r="X16" i="45" s="1"/>
  <c r="W16" i="45" s="1" a="1"/>
  <c r="W16" i="45" s="1"/>
  <c r="D8" i="45" l="1" a="1"/>
  <c r="D8" i="45" l="1"/>
  <c r="AP13" i="103" s="1"/>
  <c r="AS13" i="103" s="1"/>
  <c r="AP16" i="103"/>
  <c r="AS16" i="103" s="1"/>
  <c r="AP18" i="103"/>
  <c r="AS18" i="103" s="1"/>
  <c r="AP14" i="103"/>
  <c r="AS14" i="103" s="1"/>
  <c r="AP15" i="103"/>
  <c r="AS15" i="103" s="1"/>
  <c r="AP20" i="103"/>
  <c r="AS20" i="103" s="1"/>
  <c r="AP17" i="103"/>
  <c r="AS17" i="103" s="1"/>
  <c r="AP19" i="103"/>
  <c r="AS19" i="103" s="1"/>
  <c r="AP21" i="103"/>
  <c r="AS21" i="103" s="1"/>
  <c r="AP22" i="103"/>
  <c r="AS22" i="103" s="1"/>
  <c r="O9" i="46" a="1"/>
  <c r="O9" i="46" s="1"/>
  <c r="U11" i="46" s="1" a="1"/>
  <c r="U11" i="46" s="1"/>
  <c r="T11" i="46" s="1" a="1"/>
  <c r="T11" i="46" s="1"/>
  <c r="AT21" i="103" l="1"/>
  <c r="BU29" i="104" s="1"/>
  <c r="AT15" i="103"/>
  <c r="BU23" i="104" s="1"/>
  <c r="AT19" i="103"/>
  <c r="BU27" i="104" s="1"/>
  <c r="AT17" i="103"/>
  <c r="BU25" i="104" s="1"/>
  <c r="AT20" i="103"/>
  <c r="BU28" i="104" s="1"/>
  <c r="AT16" i="103"/>
  <c r="BU24" i="104" s="1"/>
  <c r="AT14" i="103"/>
  <c r="BU22" i="104" s="1"/>
  <c r="AT18" i="103"/>
  <c r="BU26" i="104" s="1"/>
  <c r="AT13" i="103"/>
  <c r="AT22" i="103"/>
  <c r="BU30" i="104" s="1"/>
  <c r="BL22" i="104"/>
  <c r="BL23" i="104"/>
  <c r="BL26" i="104"/>
  <c r="BL29" i="104"/>
  <c r="BL24" i="104"/>
  <c r="BL25" i="104"/>
  <c r="BL28" i="104"/>
  <c r="D8" i="46" a="1"/>
  <c r="D8" i="46" s="1"/>
  <c r="BL27" i="104"/>
  <c r="BL30" i="104"/>
  <c r="BL21" i="104"/>
  <c r="BS23" i="104"/>
  <c r="BS24" i="104"/>
  <c r="BS22" i="104"/>
  <c r="BS30" i="104"/>
  <c r="BS28" i="104"/>
  <c r="BS27" i="104"/>
  <c r="BS25" i="104"/>
  <c r="BS26" i="104"/>
  <c r="BS29" i="104"/>
  <c r="BS21" i="104"/>
  <c r="AP30" i="103" l="1" a="1"/>
  <c r="AP30" i="103" s="1"/>
  <c r="CL12" i="104" s="1"/>
  <c r="AS30" i="103" a="1"/>
  <c r="AS30" i="103" s="1"/>
  <c r="AT30" i="103" s="1" a="1"/>
  <c r="AT30" i="103" s="1"/>
  <c r="BN11" i="103" a="1"/>
  <c r="BN11" i="103" s="1"/>
  <c r="BN10" i="103" a="1"/>
  <c r="BN10" i="103" s="1"/>
  <c r="BN12" i="103" a="1"/>
  <c r="BN12" i="103" s="1"/>
  <c r="BN9" i="103" a="1"/>
  <c r="BN9" i="103" s="1"/>
  <c r="BU21" i="104"/>
  <c r="O54" i="25" a="1"/>
  <c r="O54" i="25" s="1"/>
  <c r="C50" i="25" s="1"/>
  <c r="AA128" i="25" a="1"/>
  <c r="AA128" i="25" s="1"/>
  <c r="AA111" i="25" a="1"/>
  <c r="AA111" i="25" s="1"/>
  <c r="AA130" i="25" a="1"/>
  <c r="AA130" i="25" s="1"/>
  <c r="AA114" i="25" a="1"/>
  <c r="AA114" i="25" s="1"/>
  <c r="AA112" i="25" a="1"/>
  <c r="AA112" i="25" s="1"/>
  <c r="AA127" i="25" a="1"/>
  <c r="AA127" i="25" s="1"/>
  <c r="AA129" i="25" a="1"/>
  <c r="AA129" i="25" s="1"/>
  <c r="AA113" i="25" a="1"/>
  <c r="AA113" i="25" s="1"/>
  <c r="O55" i="25" a="1"/>
  <c r="O55" i="25" s="1"/>
  <c r="C51" i="25" s="1"/>
  <c r="O53" i="25" a="1"/>
  <c r="O53" i="25" s="1"/>
  <c r="C49" i="25" s="1"/>
  <c r="O52" i="25" a="1"/>
  <c r="O52" i="25" s="1"/>
  <c r="C48" i="25" s="1"/>
  <c r="CL17" i="104" l="1"/>
  <c r="CL18" i="104"/>
  <c r="CL21" i="104"/>
  <c r="CL19" i="104"/>
  <c r="CL15" i="104"/>
  <c r="CL22" i="104"/>
  <c r="CL20" i="104"/>
  <c r="CL16" i="104"/>
  <c r="CL13" i="104"/>
  <c r="CL14" i="104"/>
  <c r="CT9" i="103" a="1"/>
  <c r="CT9" i="103" s="1"/>
  <c r="CS9" i="103" a="1"/>
  <c r="CS9" i="103" s="1"/>
  <c r="CR19" i="104"/>
  <c r="CO19" i="104"/>
  <c r="CR16" i="104"/>
  <c r="CO16" i="104"/>
  <c r="CR17" i="104"/>
  <c r="CO17" i="104"/>
  <c r="CR18" i="104"/>
  <c r="CO18" i="104"/>
  <c r="CR13" i="104"/>
  <c r="CO13" i="104"/>
  <c r="CR22" i="104"/>
  <c r="CO22" i="104"/>
  <c r="CR14" i="104"/>
  <c r="CO14" i="104"/>
  <c r="CR20" i="104"/>
  <c r="CO20" i="104"/>
  <c r="CO21" i="104"/>
  <c r="CR21" i="104"/>
  <c r="CR15" i="104"/>
  <c r="CO15" i="104"/>
  <c r="CO12" i="104"/>
  <c r="CU9" i="103" l="1" a="1"/>
  <c r="CU9" i="103" s="1"/>
  <c r="CV9" i="103" s="1" a="1"/>
  <c r="CV9" i="103" s="1"/>
  <c r="CW9" i="103" s="1" a="1"/>
  <c r="CW9" i="103" s="1"/>
  <c r="BN29" i="103" a="1"/>
  <c r="BN29" i="103" s="1"/>
  <c r="BN28" i="103" a="1"/>
  <c r="BN28" i="103" s="1"/>
  <c r="BN27" i="103" a="1"/>
  <c r="BN27" i="103" s="1"/>
  <c r="BN26" i="103" a="1"/>
  <c r="BN26" i="103" s="1"/>
  <c r="CR12" i="104"/>
  <c r="CS26" i="103" l="1" a="1"/>
  <c r="CS26" i="103" s="1"/>
  <c r="CT26" i="103" a="1"/>
  <c r="CT26" i="103" s="1"/>
  <c r="CX9" i="103" a="1"/>
  <c r="CX9" i="103" s="1"/>
  <c r="E8" i="103"/>
  <c r="I17" i="104" s="1"/>
  <c r="E9" i="103"/>
  <c r="O17" i="104" s="1"/>
  <c r="E10" i="103"/>
  <c r="U17" i="104" s="1"/>
  <c r="E7" i="103"/>
  <c r="C17" i="104" s="1"/>
  <c r="DD8" i="103" l="1" a="1"/>
  <c r="DD8" i="103" s="1"/>
  <c r="DE8" i="103" a="1"/>
  <c r="DE8" i="103" s="1"/>
  <c r="CU26" i="103" a="1"/>
  <c r="CU26" i="103" s="1"/>
  <c r="CV26" i="103" s="1" a="1"/>
  <c r="CV26" i="103" s="1"/>
  <c r="DC8" i="103" a="1"/>
  <c r="DC8" i="103" s="1"/>
  <c r="DB8" i="103" a="1"/>
  <c r="DB8" i="103" s="1"/>
  <c r="CW26" i="103" l="1" a="1"/>
  <c r="CW26" i="103" s="1"/>
  <c r="CX26" i="103" a="1"/>
  <c r="CX26" i="103" s="1"/>
  <c r="DD25" i="103" l="1" a="1"/>
  <c r="DD25" i="103" s="1"/>
  <c r="DE25" i="103" a="1"/>
  <c r="DE25" i="103" s="1"/>
  <c r="DC25" i="103" a="1"/>
  <c r="DC25" i="103" s="1"/>
  <c r="DB25" i="103" a="1"/>
  <c r="DB25"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mineno</author>
  </authors>
  <commentList>
    <comment ref="M5" authorId="0" shapeId="0" xr:uid="{1878D3E2-96E4-490D-A772-25B755873799}">
      <text>
        <r>
          <rPr>
            <sz val="9"/>
            <color indexed="81"/>
            <rFont val="MS P ゴシック"/>
            <family val="3"/>
            <charset val="128"/>
          </rPr>
          <t xml:space="preserve">ユーザーインターフェースに無い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<sst xmlns="http://schemas.openxmlformats.org/spreadsheetml/2006/main" count="2277" uniqueCount="766">
  <si>
    <t>kPa</t>
    <phoneticPr fontId="2"/>
  </si>
  <si>
    <t>台</t>
    <rPh sb="0" eb="1">
      <t>ダイ</t>
    </rPh>
    <phoneticPr fontId="2"/>
  </si>
  <si>
    <t>流量</t>
    <rPh sb="0" eb="2">
      <t>リュウリョウ</t>
    </rPh>
    <phoneticPr fontId="2"/>
  </si>
  <si>
    <t>a</t>
    <phoneticPr fontId="2"/>
  </si>
  <si>
    <t>kW</t>
    <phoneticPr fontId="2"/>
  </si>
  <si>
    <t>-</t>
    <phoneticPr fontId="2"/>
  </si>
  <si>
    <t>b</t>
    <phoneticPr fontId="2"/>
  </si>
  <si>
    <t>c</t>
    <phoneticPr fontId="2"/>
  </si>
  <si>
    <t>d</t>
    <phoneticPr fontId="2"/>
  </si>
  <si>
    <t>係数</t>
    <rPh sb="0" eb="2">
      <t>ケイスウ</t>
    </rPh>
    <phoneticPr fontId="2"/>
  </si>
  <si>
    <t>差圧</t>
    <phoneticPr fontId="2"/>
  </si>
  <si>
    <t>℃</t>
    <phoneticPr fontId="2"/>
  </si>
  <si>
    <t>MJ/h</t>
    <phoneticPr fontId="2"/>
  </si>
  <si>
    <t>1)　入力（自動計算）</t>
    <rPh sb="3" eb="5">
      <t>ニュウリョク</t>
    </rPh>
    <rPh sb="6" eb="8">
      <t>ジドウ</t>
    </rPh>
    <rPh sb="8" eb="10">
      <t>ケイサン</t>
    </rPh>
    <phoneticPr fontId="2"/>
  </si>
  <si>
    <t>2)　出力（結果、係数a,b）</t>
    <rPh sb="3" eb="5">
      <t>シュツリョク</t>
    </rPh>
    <rPh sb="6" eb="8">
      <t>ケッカ</t>
    </rPh>
    <rPh sb="9" eb="11">
      <t>ケイスウ</t>
    </rPh>
    <phoneticPr fontId="2"/>
  </si>
  <si>
    <t>　Wpv = a*Mpv^3+b*Mpv^2+c*Mpv+d (a,b,c,d は係数）</t>
    <rPh sb="41" eb="43">
      <t>ケイスウ</t>
    </rPh>
    <phoneticPr fontId="2"/>
  </si>
  <si>
    <t>係数（安全率補正無）</t>
    <rPh sb="0" eb="2">
      <t>ケイスウ</t>
    </rPh>
    <rPh sb="3" eb="6">
      <t>アンゼンリツ</t>
    </rPh>
    <rPh sb="6" eb="8">
      <t>ホセイ</t>
    </rPh>
    <rPh sb="8" eb="9">
      <t>ナ</t>
    </rPh>
    <phoneticPr fontId="2"/>
  </si>
  <si>
    <t>係数（安全率補正有）</t>
    <rPh sb="0" eb="2">
      <t>ケイスウ</t>
    </rPh>
    <rPh sb="3" eb="6">
      <t>アンゼンリツ</t>
    </rPh>
    <rPh sb="6" eb="8">
      <t>ホセイ</t>
    </rPh>
    <rPh sb="8" eb="9">
      <t>アリ</t>
    </rPh>
    <phoneticPr fontId="2"/>
  </si>
  <si>
    <t>3)　二次側流量(Mpv)と消費電力・消費電力補正(Wpv)の関係式（3次式）の係数導出</t>
    <rPh sb="3" eb="6">
      <t>ニジガワ</t>
    </rPh>
    <rPh sb="6" eb="8">
      <t>リュウリョウ</t>
    </rPh>
    <rPh sb="14" eb="18">
      <t>ショウヒデンリョク</t>
    </rPh>
    <rPh sb="19" eb="21">
      <t>ショウヒ</t>
    </rPh>
    <rPh sb="21" eb="23">
      <t>デンリョク</t>
    </rPh>
    <rPh sb="23" eb="25">
      <t>ホセイ</t>
    </rPh>
    <rPh sb="31" eb="34">
      <t>カンケイシキ</t>
    </rPh>
    <rPh sb="36" eb="38">
      <t>ジシキ</t>
    </rPh>
    <rPh sb="40" eb="42">
      <t>ケイスウ</t>
    </rPh>
    <rPh sb="42" eb="44">
      <t>ドウシュツ</t>
    </rPh>
    <phoneticPr fontId="2"/>
  </si>
  <si>
    <t xml:space="preserve">a </t>
    <phoneticPr fontId="2"/>
  </si>
  <si>
    <t>モータ効率 (ηm)</t>
  </si>
  <si>
    <t>インバータ効率 (ηinv)</t>
  </si>
  <si>
    <t>　　a.　単位設定</t>
    <rPh sb="5" eb="7">
      <t>タンイ</t>
    </rPh>
    <rPh sb="7" eb="9">
      <t>セッテイ</t>
    </rPh>
    <phoneticPr fontId="2"/>
  </si>
  <si>
    <t>デジタイザ入力データファイル名（csvなどの属性も記入）</t>
    <rPh sb="5" eb="7">
      <t>ニュウリョク</t>
    </rPh>
    <rPh sb="14" eb="15">
      <t>メイ</t>
    </rPh>
    <rPh sb="22" eb="24">
      <t>ゾクセイ</t>
    </rPh>
    <rPh sb="25" eb="27">
      <t>キニュウ</t>
    </rPh>
    <phoneticPr fontId="2"/>
  </si>
  <si>
    <t>パラメータ出力データファイル名（xlsxで出力される）</t>
    <rPh sb="5" eb="7">
      <t>シュツリョク</t>
    </rPh>
    <rPh sb="14" eb="15">
      <t>メイ</t>
    </rPh>
    <rPh sb="21" eb="23">
      <t>シュツリョク</t>
    </rPh>
    <phoneticPr fontId="2"/>
  </si>
  <si>
    <t>【凡例】</t>
    <rPh sb="0" eb="3">
      <t>(ハンレイ</t>
    </rPh>
    <phoneticPr fontId="2"/>
  </si>
  <si>
    <t>：本シートで自動計算されるセル</t>
    <rPh sb="1" eb="2">
      <t>ホン</t>
    </rPh>
    <rPh sb="6" eb="10">
      <t>ジドウケイサン</t>
    </rPh>
    <phoneticPr fontId="2"/>
  </si>
  <si>
    <t>a4</t>
  </si>
  <si>
    <t>f1</t>
    <phoneticPr fontId="2"/>
  </si>
  <si>
    <t>f2</t>
    <phoneticPr fontId="2"/>
  </si>
  <si>
    <t>d4</t>
  </si>
  <si>
    <t>e1</t>
    <phoneticPr fontId="2"/>
  </si>
  <si>
    <t>　　b.　定格値設定</t>
    <phoneticPr fontId="2"/>
  </si>
  <si>
    <t>　　c.　運用範囲の設定</t>
    <phoneticPr fontId="2"/>
  </si>
  <si>
    <t>　　d.　デジタイザ読み取り書式の設定</t>
    <phoneticPr fontId="2"/>
  </si>
  <si>
    <t>　　e.　ポンプパラメータ結果出力ファイルの設定</t>
    <phoneticPr fontId="2"/>
  </si>
  <si>
    <t>　　f.　モータ・インバータ効率入力</t>
    <phoneticPr fontId="2"/>
  </si>
  <si>
    <t>ポンプの電動機定格出力合計</t>
    <rPh sb="11" eb="13">
      <t>ゴウケイ</t>
    </rPh>
    <phoneticPr fontId="2"/>
  </si>
  <si>
    <t>ポンプの増段閾値（選定ポンプの運転点流量の80％）</t>
    <rPh sb="4" eb="6">
      <t>ゾウダン</t>
    </rPh>
    <rPh sb="6" eb="8">
      <t>イキチ</t>
    </rPh>
    <rPh sb="9" eb="11">
      <t>センテイ</t>
    </rPh>
    <rPh sb="15" eb="18">
      <t>ウンテンテン</t>
    </rPh>
    <rPh sb="18" eb="20">
      <t>リュウリョウ</t>
    </rPh>
    <phoneticPr fontId="2"/>
  </si>
  <si>
    <t>ポンプ1台の電動機定格出力(b3)×ポンプ台数(p4)</t>
    <rPh sb="4" eb="5">
      <t>ダイ</t>
    </rPh>
    <rPh sb="6" eb="9">
      <t>デンドウキ</t>
    </rPh>
    <rPh sb="9" eb="11">
      <t>テイカク</t>
    </rPh>
    <rPh sb="11" eb="13">
      <t>シュツリョク</t>
    </rPh>
    <rPh sb="21" eb="23">
      <t>ダイスウ</t>
    </rPh>
    <phoneticPr fontId="2"/>
  </si>
  <si>
    <t>(b1)をm3/hに単位変換×(p10)</t>
    <rPh sb="10" eb="14">
      <t>タンイヘンカン</t>
    </rPh>
    <phoneticPr fontId="2"/>
  </si>
  <si>
    <t>要求流量</t>
    <rPh sb="0" eb="4">
      <t>ヨウキュウリュウリョウ</t>
    </rPh>
    <phoneticPr fontId="2"/>
  </si>
  <si>
    <t>要求ポンプ前後差圧</t>
    <rPh sb="0" eb="2">
      <t>ヨウキュウ</t>
    </rPh>
    <rPh sb="5" eb="9">
      <t>ゼンゴサアツ</t>
    </rPh>
    <phoneticPr fontId="2"/>
  </si>
  <si>
    <t>kg/s</t>
  </si>
  <si>
    <t>kg/s</t>
    <phoneticPr fontId="2"/>
  </si>
  <si>
    <t>kPa</t>
  </si>
  <si>
    <t>定格流量</t>
    <rPh sb="0" eb="4">
      <t>テイカクリュウリョウ</t>
    </rPh>
    <phoneticPr fontId="2"/>
  </si>
  <si>
    <t>m_r</t>
    <phoneticPr fontId="2"/>
  </si>
  <si>
    <t>m_c1~10</t>
    <phoneticPr fontId="2"/>
  </si>
  <si>
    <t>dP_c1~10</t>
    <phoneticPr fontId="2"/>
  </si>
  <si>
    <t>-</t>
  </si>
  <si>
    <t>定格回転速度</t>
    <rPh sb="0" eb="4">
      <t>テイカク</t>
    </rPh>
    <rPh sb="4" eb="6">
      <t>ソクド</t>
    </rPh>
    <phoneticPr fontId="2"/>
  </si>
  <si>
    <t>N_r</t>
    <phoneticPr fontId="2"/>
  </si>
  <si>
    <t>rps</t>
    <phoneticPr fontId="2"/>
  </si>
  <si>
    <t>R_N,min</t>
    <phoneticPr fontId="2"/>
  </si>
  <si>
    <t>R_N,max</t>
    <phoneticPr fontId="2"/>
  </si>
  <si>
    <t>m_smpl</t>
    <phoneticPr fontId="2"/>
  </si>
  <si>
    <t>dP_smpl</t>
    <phoneticPr fontId="2"/>
  </si>
  <si>
    <t>流量-圧力特性曲線のサンプル流量</t>
    <rPh sb="0" eb="2">
      <t>リュウリョウ</t>
    </rPh>
    <rPh sb="3" eb="7">
      <t>アツリョクトクセイ</t>
    </rPh>
    <rPh sb="7" eb="9">
      <t>キョクセン</t>
    </rPh>
    <rPh sb="14" eb="16">
      <t>リュウリョウ</t>
    </rPh>
    <phoneticPr fontId="2"/>
  </si>
  <si>
    <t>流量-圧力特性曲線のサンプル圧力</t>
    <rPh sb="0" eb="2">
      <t>リュウリョウ</t>
    </rPh>
    <rPh sb="3" eb="7">
      <t>アツリョクトクセイ</t>
    </rPh>
    <rPh sb="7" eb="9">
      <t>キョクセン</t>
    </rPh>
    <rPh sb="14" eb="16">
      <t>アツリョク</t>
    </rPh>
    <phoneticPr fontId="2"/>
  </si>
  <si>
    <t>η_smpl</t>
    <phoneticPr fontId="2"/>
  </si>
  <si>
    <t>流量-軸動力特性曲線のサンプル圧力</t>
    <rPh sb="0" eb="2">
      <t>リュウリョウ</t>
    </rPh>
    <rPh sb="3" eb="4">
      <t>ジク</t>
    </rPh>
    <rPh sb="4" eb="6">
      <t>ドウリョク</t>
    </rPh>
    <rPh sb="6" eb="8">
      <t>トクセイ</t>
    </rPh>
    <rPh sb="8" eb="10">
      <t>キョクセン</t>
    </rPh>
    <rPh sb="15" eb="17">
      <t>アツリョク</t>
    </rPh>
    <phoneticPr fontId="2"/>
  </si>
  <si>
    <t>流量-軸動力特性曲線のサンプル流量</t>
    <rPh sb="0" eb="2">
      <t>リュウリョウ</t>
    </rPh>
    <rPh sb="3" eb="4">
      <t>ジク</t>
    </rPh>
    <rPh sb="4" eb="6">
      <t>ドウリョク</t>
    </rPh>
    <rPh sb="6" eb="8">
      <t>トクセイ</t>
    </rPh>
    <rPh sb="8" eb="10">
      <t>キョクセン</t>
    </rPh>
    <rPh sb="15" eb="17">
      <t>リュウリョウ</t>
    </rPh>
    <phoneticPr fontId="2"/>
  </si>
  <si>
    <t>W_smpl</t>
    <phoneticPr fontId="2"/>
  </si>
  <si>
    <t>流量-効率特性曲線のサンプル流量</t>
    <rPh sb="0" eb="2">
      <t>リュウリョウ</t>
    </rPh>
    <rPh sb="3" eb="5">
      <t>コウリツ</t>
    </rPh>
    <rPh sb="5" eb="7">
      <t>トクセイ</t>
    </rPh>
    <rPh sb="7" eb="9">
      <t>キョクセン</t>
    </rPh>
    <rPh sb="14" eb="16">
      <t>リュウリョウ</t>
    </rPh>
    <phoneticPr fontId="2"/>
  </si>
  <si>
    <t>流量-効率特性曲線のサンプル効率</t>
    <rPh sb="0" eb="2">
      <t>リュウリョウ</t>
    </rPh>
    <rPh sb="3" eb="5">
      <t>コウリツ</t>
    </rPh>
    <rPh sb="5" eb="7">
      <t>トクセイ</t>
    </rPh>
    <rPh sb="7" eb="9">
      <t>キョクセン</t>
    </rPh>
    <rPh sb="14" eb="16">
      <t>コウリツ</t>
    </rPh>
    <phoneticPr fontId="2"/>
  </si>
  <si>
    <t>n_smpl</t>
    <phoneticPr fontId="2"/>
  </si>
  <si>
    <t>個</t>
    <rPh sb="0" eb="1">
      <t>コ</t>
    </rPh>
    <phoneticPr fontId="2"/>
  </si>
  <si>
    <t>最低限必要な流量の検討範囲内の散布データの数</t>
    <rPh sb="0" eb="5">
      <t>サイテイゲンヒツヨウ</t>
    </rPh>
    <rPh sb="6" eb="8">
      <t>リュウリョウ</t>
    </rPh>
    <rPh sb="9" eb="14">
      <t>ケントウハンイナイ</t>
    </rPh>
    <rPh sb="15" eb="17">
      <t>サンプ</t>
    </rPh>
    <rPh sb="21" eb="22">
      <t>カズ</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</si>
  <si>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</si>
  <si>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</si>
  <si>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</si>
  <si>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</si>
  <si>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</si>
  <si>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</si>
  <si>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</si>
  <si>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</si>
  <si>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</si>
  <si>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</si>
  <si>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個</t>
    <rPh sb="0" eb="1">
      <t>コ</t>
    </rPh>
    <phoneticPr fontId="17"/>
  </si>
  <si>
    <t>最低限必要数 n_smpl</t>
    <rPh sb="3" eb="6">
      <t>ヒツヨウスウ</t>
    </rPh>
    <phoneticPr fontId="17"/>
  </si>
  <si>
    <t>▶データ数</t>
    <rPh sb="4" eb="5">
      <t>スウ</t>
    </rPh>
    <phoneticPr fontId="17"/>
  </si>
  <si>
    <t>軸動力特性</t>
    <rPh sb="0" eb="3">
      <t>ジクドウリョク</t>
    </rPh>
    <rPh sb="3" eb="5">
      <t>トクセイ</t>
    </rPh>
    <phoneticPr fontId="17"/>
  </si>
  <si>
    <t>kW</t>
    <phoneticPr fontId="17"/>
  </si>
  <si>
    <t>-</t>
    <phoneticPr fontId="17"/>
  </si>
  <si>
    <t>効率特性</t>
    <rPh sb="0" eb="2">
      <t>コウリツ</t>
    </rPh>
    <rPh sb="2" eb="4">
      <t>トクセイ</t>
    </rPh>
    <phoneticPr fontId="17"/>
  </si>
  <si>
    <t>軸動力W</t>
    <phoneticPr fontId="17"/>
  </si>
  <si>
    <t>流量m</t>
    <phoneticPr fontId="17"/>
  </si>
  <si>
    <t>ポンプ効率η</t>
    <phoneticPr fontId="17"/>
  </si>
  <si>
    <t>ポンプ前後差圧dP</t>
    <rPh sb="3" eb="7">
      <t>ゼンゴサアツ</t>
    </rPh>
    <phoneticPr fontId="17"/>
  </si>
  <si>
    <t>流量－軸動力特性</t>
    <rPh sb="0" eb="2">
      <t>リュウリョウ</t>
    </rPh>
    <rPh sb="3" eb="8">
      <t>ジクドウリョクトクセイ</t>
    </rPh>
    <phoneticPr fontId="17"/>
  </si>
  <si>
    <t>圧力特性</t>
    <rPh sb="0" eb="2">
      <t>アツリョク</t>
    </rPh>
    <rPh sb="2" eb="4">
      <t>トクセイ</t>
    </rPh>
    <phoneticPr fontId="17"/>
  </si>
  <si>
    <t>kg/s</t>
    <phoneticPr fontId="17"/>
  </si>
  <si>
    <t>流量―ポンプ効率特性</t>
    <rPh sb="0" eb="2">
      <t>リュウリョウ</t>
    </rPh>
    <rPh sb="6" eb="8">
      <t>コウリツ</t>
    </rPh>
    <rPh sb="8" eb="10">
      <t>トクセイ</t>
    </rPh>
    <phoneticPr fontId="17"/>
  </si>
  <si>
    <t>条件に適合する</t>
    <rPh sb="0" eb="2">
      <t>ジョウケン</t>
    </rPh>
    <rPh sb="3" eb="5">
      <t>テキゴウ</t>
    </rPh>
    <phoneticPr fontId="17"/>
  </si>
  <si>
    <t>▶効率</t>
    <rPh sb="1" eb="3">
      <t>コウリツ</t>
    </rPh>
    <phoneticPr fontId="17"/>
  </si>
  <si>
    <t>▶流量</t>
    <rPh sb="1" eb="3">
      <t>リュウリョウ</t>
    </rPh>
    <phoneticPr fontId="17"/>
  </si>
  <si>
    <t>流量ーポンプ前後差圧特性</t>
    <rPh sb="0" eb="2">
      <t>リュウリョウ</t>
    </rPh>
    <rPh sb="6" eb="8">
      <t>ゼンゴ</t>
    </rPh>
    <rPh sb="8" eb="10">
      <t>サアツ</t>
    </rPh>
    <rPh sb="10" eb="12">
      <t>トクセイ</t>
    </rPh>
    <phoneticPr fontId="17"/>
  </si>
  <si>
    <t>◇テーブル</t>
    <phoneticPr fontId="17"/>
  </si>
  <si>
    <t>◇値</t>
    <rPh sb="1" eb="2">
      <t>アタイ</t>
    </rPh>
    <phoneticPr fontId="17"/>
  </si>
  <si>
    <t>■計算処理（入力行数が1000迄は任意の行数に対応しています。）</t>
    <rPh sb="1" eb="3">
      <t>ケイサン</t>
    </rPh>
    <rPh sb="3" eb="5">
      <t>ショリ</t>
    </rPh>
    <rPh sb="6" eb="9">
      <t>ニュウリョクギョウ</t>
    </rPh>
    <rPh sb="9" eb="10">
      <t>スウ</t>
    </rPh>
    <rPh sb="15" eb="16">
      <t>マデ</t>
    </rPh>
    <rPh sb="17" eb="19">
      <t>ニンイ</t>
    </rPh>
    <rPh sb="20" eb="22">
      <t>ギョウスウ</t>
    </rPh>
    <rPh sb="23" eb="25">
      <t>タイオウ</t>
    </rPh>
    <phoneticPr fontId="17"/>
  </si>
  <si>
    <t>■引数</t>
    <rPh sb="1" eb="3">
      <t>ヒキスウ</t>
    </rPh>
    <phoneticPr fontId="17"/>
  </si>
  <si>
    <t>■戻り値</t>
    <rPh sb="1" eb="2">
      <t>モド</t>
    </rPh>
    <rPh sb="3" eb="4">
      <t>チ</t>
    </rPh>
    <phoneticPr fontId="17"/>
  </si>
  <si>
    <t>サンプリングデータ数の確認と判断</t>
    <rPh sb="9" eb="10">
      <t>スウ</t>
    </rPh>
    <rPh sb="11" eb="13">
      <t>カクニン</t>
    </rPh>
    <rPh sb="14" eb="16">
      <t>ハンダン</t>
    </rPh>
    <phoneticPr fontId="17"/>
  </si>
  <si>
    <t>rps</t>
    <phoneticPr fontId="17"/>
  </si>
  <si>
    <t>定格回転速度 N_r</t>
    <rPh sb="0" eb="6">
      <t>テイカクカイテンソクド</t>
    </rPh>
    <phoneticPr fontId="17"/>
  </si>
  <si>
    <t>軸動力C_W</t>
    <phoneticPr fontId="17"/>
  </si>
  <si>
    <t>流量C_f</t>
  </si>
  <si>
    <t>ポンプ前後差圧C_h</t>
    <rPh sb="3" eb="7">
      <t>ゼンゴサアツ</t>
    </rPh>
    <phoneticPr fontId="17"/>
  </si>
  <si>
    <t>流量C_f</t>
    <phoneticPr fontId="17"/>
  </si>
  <si>
    <t>m</t>
    <phoneticPr fontId="17"/>
  </si>
  <si>
    <t>羽の直径 D</t>
    <rPh sb="0" eb="1">
      <t>ハネ</t>
    </rPh>
    <rPh sb="2" eb="4">
      <t>チョッケイ</t>
    </rPh>
    <phoneticPr fontId="17"/>
  </si>
  <si>
    <t>▶ポンプ</t>
    <phoneticPr fontId="17"/>
  </si>
  <si>
    <t>▶圧力</t>
    <rPh sb="1" eb="3">
      <t>アツリョク</t>
    </rPh>
    <phoneticPr fontId="17"/>
  </si>
  <si>
    <r>
      <t>kg/m</t>
    </r>
    <r>
      <rPr>
        <vertAlign val="superscript"/>
        <sz val="11"/>
        <color theme="1"/>
        <rFont val="游ゴシック"/>
        <family val="3"/>
        <charset val="128"/>
        <scheme val="minor"/>
      </rPr>
      <t>3</t>
    </r>
    <phoneticPr fontId="17"/>
  </si>
  <si>
    <t>水の密度 ρ</t>
    <rPh sb="0" eb="1">
      <t>スイ</t>
    </rPh>
    <rPh sb="2" eb="4">
      <t>ミツド</t>
    </rPh>
    <phoneticPr fontId="17"/>
  </si>
  <si>
    <t>▶軸動力</t>
    <rPh sb="1" eb="4">
      <t>ジクドウリョク</t>
    </rPh>
    <phoneticPr fontId="17"/>
  </si>
  <si>
    <t>◇無次元化</t>
    <rPh sb="1" eb="5">
      <t>ムジゲンカ</t>
    </rPh>
    <phoneticPr fontId="17"/>
  </si>
  <si>
    <t>サンプリングデータの無次元化</t>
    <rPh sb="10" eb="14">
      <t>ムジゲンカ</t>
    </rPh>
    <phoneticPr fontId="17"/>
  </si>
  <si>
    <t>y3</t>
    <phoneticPr fontId="17"/>
  </si>
  <si>
    <t>y2</t>
    <phoneticPr fontId="17"/>
  </si>
  <si>
    <t>y1</t>
    <phoneticPr fontId="17"/>
  </si>
  <si>
    <t>検算結果（8桁丸め）</t>
    <rPh sb="0" eb="2">
      <t>ケンザン</t>
    </rPh>
    <rPh sb="2" eb="4">
      <t>ケッカ</t>
    </rPh>
    <rPh sb="6" eb="7">
      <t>ケタ</t>
    </rPh>
    <rPh sb="7" eb="8">
      <t>マル</t>
    </rPh>
    <phoneticPr fontId="17"/>
  </si>
  <si>
    <t>検算結果</t>
    <rPh sb="0" eb="2">
      <t>ケンザン</t>
    </rPh>
    <rPh sb="2" eb="4">
      <t>ケッカ</t>
    </rPh>
    <phoneticPr fontId="17"/>
  </si>
  <si>
    <t>【補足】検算</t>
    <rPh sb="1" eb="3">
      <t>ホソク</t>
    </rPh>
    <rPh sb="4" eb="6">
      <t>ケンザン</t>
    </rPh>
    <phoneticPr fontId="17"/>
  </si>
  <si>
    <t>x3</t>
    <phoneticPr fontId="17"/>
  </si>
  <si>
    <t>x2</t>
    <phoneticPr fontId="17"/>
  </si>
  <si>
    <t>x1</t>
    <phoneticPr fontId="17"/>
  </si>
  <si>
    <t>Xからxに変換して3次方程式の解を得る。</t>
    <rPh sb="5" eb="7">
      <t>ヘンカン</t>
    </rPh>
    <rPh sb="10" eb="14">
      <t>ジホウテイシキ</t>
    </rPh>
    <rPh sb="15" eb="16">
      <t>カイ</t>
    </rPh>
    <rPh sb="17" eb="18">
      <t>エ</t>
    </rPh>
    <phoneticPr fontId="17"/>
  </si>
  <si>
    <t>X3</t>
    <phoneticPr fontId="17"/>
  </si>
  <si>
    <t>X2</t>
    <phoneticPr fontId="17"/>
  </si>
  <si>
    <t>X1</t>
    <phoneticPr fontId="17"/>
  </si>
  <si>
    <t>判別式Dの結果で計算方法を切り替え、以下の結果を得る。</t>
    <rPh sb="0" eb="3">
      <t>ハンベツシキ</t>
    </rPh>
    <rPh sb="5" eb="7">
      <t>ケッカ</t>
    </rPh>
    <rPh sb="8" eb="12">
      <t>ケイサンホウホウ</t>
    </rPh>
    <rPh sb="13" eb="14">
      <t>キ</t>
    </rPh>
    <rPh sb="15" eb="16">
      <t>カ</t>
    </rPh>
    <rPh sb="18" eb="20">
      <t>イカ</t>
    </rPh>
    <rPh sb="21" eb="23">
      <t>ケッカ</t>
    </rPh>
    <rPh sb="24" eb="25">
      <t>エ</t>
    </rPh>
    <phoneticPr fontId="17"/>
  </si>
  <si>
    <r>
      <t>uω+vω</t>
    </r>
    <r>
      <rPr>
        <vertAlign val="superscript"/>
        <sz val="11"/>
        <color theme="1"/>
        <rFont val="游ゴシック"/>
        <family val="3"/>
        <charset val="128"/>
        <scheme val="minor"/>
      </rPr>
      <t>2</t>
    </r>
    <phoneticPr fontId="17"/>
  </si>
  <si>
    <r>
      <t>uω</t>
    </r>
    <r>
      <rPr>
        <vertAlign val="superscript"/>
        <sz val="11"/>
        <color theme="1"/>
        <rFont val="游ゴシック"/>
        <family val="3"/>
        <charset val="128"/>
        <scheme val="minor"/>
      </rPr>
      <t>2</t>
    </r>
    <r>
      <rPr>
        <sz val="11"/>
        <color theme="1"/>
        <rFont val="游ゴシック"/>
        <family val="2"/>
        <charset val="128"/>
        <scheme val="minor"/>
      </rPr>
      <t>+vω</t>
    </r>
    <phoneticPr fontId="17"/>
  </si>
  <si>
    <t>u+v</t>
    <phoneticPr fontId="17"/>
  </si>
  <si>
    <t>ビエトの方法</t>
    <rPh sb="4" eb="6">
      <t>ホウホウ</t>
    </rPh>
    <phoneticPr fontId="17"/>
  </si>
  <si>
    <t>そのため、ビエトの方法を用いて負の平方根を避けて解を得る。</t>
    <rPh sb="9" eb="11">
      <t>ホウホウ</t>
    </rPh>
    <rPh sb="12" eb="13">
      <t>モチ</t>
    </rPh>
    <rPh sb="15" eb="16">
      <t>フ</t>
    </rPh>
    <rPh sb="17" eb="20">
      <t>ヘイホウコン</t>
    </rPh>
    <rPh sb="21" eb="22">
      <t>サ</t>
    </rPh>
    <rPh sb="24" eb="25">
      <t>カイ</t>
    </rPh>
    <rPh sb="26" eb="27">
      <t>エ</t>
    </rPh>
    <phoneticPr fontId="17"/>
  </si>
  <si>
    <t>これは本プログラムの計算対象となるため回避する事が出来ない。</t>
    <rPh sb="3" eb="4">
      <t>ホン</t>
    </rPh>
    <rPh sb="10" eb="14">
      <t>ケイサンタイショウ</t>
    </rPh>
    <rPh sb="19" eb="21">
      <t>カイヒ</t>
    </rPh>
    <rPh sb="23" eb="24">
      <t>コト</t>
    </rPh>
    <rPh sb="25" eb="27">
      <t>デキ</t>
    </rPh>
    <phoneticPr fontId="17"/>
  </si>
  <si>
    <t>判別式Dが正数となる（D&gt;0）場合は、相異なる3実数解を持つ。</t>
    <rPh sb="0" eb="3">
      <t>ハンベツシキ</t>
    </rPh>
    <rPh sb="5" eb="7">
      <t>セイスウ</t>
    </rPh>
    <rPh sb="15" eb="17">
      <t>バアイ</t>
    </rPh>
    <rPh sb="19" eb="21">
      <t>アイコト</t>
    </rPh>
    <rPh sb="24" eb="27">
      <t>ジッスウカイ</t>
    </rPh>
    <rPh sb="28" eb="29">
      <t>モ</t>
    </rPh>
    <phoneticPr fontId="17"/>
  </si>
  <si>
    <t>判別式D</t>
    <rPh sb="0" eb="3">
      <t>ハンベツシキ</t>
    </rPh>
    <phoneticPr fontId="17"/>
  </si>
  <si>
    <t>これは3次方程式の判別式Dが正数となる条件と同じである。</t>
    <rPh sb="4" eb="5">
      <t>ジ</t>
    </rPh>
    <rPh sb="5" eb="8">
      <t>ホウテイシキ</t>
    </rPh>
    <rPh sb="9" eb="11">
      <t>ハンベツ</t>
    </rPh>
    <rPh sb="11" eb="12">
      <t>シキ</t>
    </rPh>
    <rPh sb="14" eb="16">
      <t>セイスウ</t>
    </rPh>
    <rPh sb="19" eb="21">
      <t>ジョウケン</t>
    </rPh>
    <rPh sb="22" eb="23">
      <t>オナ</t>
    </rPh>
    <phoneticPr fontId="17"/>
  </si>
  <si>
    <t>中間変数K_1が負の値を取るとき、カルダノの方法では負の平方根となり容易に解を得ることができない。</t>
    <rPh sb="0" eb="4">
      <t>チュウカンヘンスウ</t>
    </rPh>
    <rPh sb="8" eb="9">
      <t>フ</t>
    </rPh>
    <rPh sb="10" eb="11">
      <t>アタイ</t>
    </rPh>
    <rPh sb="12" eb="13">
      <t>ト</t>
    </rPh>
    <rPh sb="26" eb="27">
      <t>フ</t>
    </rPh>
    <rPh sb="28" eb="31">
      <t>ヘイホウコン</t>
    </rPh>
    <rPh sb="34" eb="36">
      <t>ヨウイ</t>
    </rPh>
    <rPh sb="37" eb="38">
      <t>カイ</t>
    </rPh>
    <rPh sb="39" eb="40">
      <t>エ</t>
    </rPh>
    <phoneticPr fontId="17"/>
  </si>
  <si>
    <r>
      <t>vω</t>
    </r>
    <r>
      <rPr>
        <vertAlign val="superscript"/>
        <sz val="11"/>
        <color theme="1"/>
        <rFont val="游ゴシック"/>
        <family val="3"/>
        <charset val="128"/>
        <scheme val="minor"/>
      </rPr>
      <t>2</t>
    </r>
    <phoneticPr fontId="17"/>
  </si>
  <si>
    <t>vω</t>
    <phoneticPr fontId="17"/>
  </si>
  <si>
    <t>v</t>
    <phoneticPr fontId="17"/>
  </si>
  <si>
    <r>
      <t>v</t>
    </r>
    <r>
      <rPr>
        <vertAlign val="superscript"/>
        <sz val="11"/>
        <color theme="1"/>
        <rFont val="游ゴシック"/>
        <family val="3"/>
        <charset val="128"/>
        <scheme val="minor"/>
      </rPr>
      <t>3</t>
    </r>
    <r>
      <rPr>
        <sz val="11"/>
        <color theme="1"/>
        <rFont val="游ゴシック"/>
        <family val="2"/>
        <charset val="128"/>
        <scheme val="minor"/>
      </rPr>
      <t>の3重根</t>
    </r>
    <rPh sb="4" eb="6">
      <t>ジュウコン</t>
    </rPh>
    <phoneticPr fontId="17"/>
  </si>
  <si>
    <r>
      <t>uω</t>
    </r>
    <r>
      <rPr>
        <vertAlign val="superscript"/>
        <sz val="11"/>
        <color theme="1"/>
        <rFont val="游ゴシック"/>
        <family val="3"/>
        <charset val="128"/>
        <scheme val="minor"/>
      </rPr>
      <t>2</t>
    </r>
    <phoneticPr fontId="17"/>
  </si>
  <si>
    <t>uω</t>
    <phoneticPr fontId="17"/>
  </si>
  <si>
    <t>u</t>
    <phoneticPr fontId="17"/>
  </si>
  <si>
    <r>
      <t>u</t>
    </r>
    <r>
      <rPr>
        <vertAlign val="superscript"/>
        <sz val="11"/>
        <color theme="1"/>
        <rFont val="游ゴシック"/>
        <family val="3"/>
        <charset val="128"/>
        <scheme val="minor"/>
      </rPr>
      <t>3</t>
    </r>
    <r>
      <rPr>
        <sz val="11"/>
        <color theme="1"/>
        <rFont val="游ゴシック"/>
        <family val="2"/>
        <charset val="128"/>
        <scheme val="minor"/>
      </rPr>
      <t>の3重根</t>
    </r>
    <rPh sb="4" eb="6">
      <t>ジュウコン</t>
    </rPh>
    <phoneticPr fontId="17"/>
  </si>
  <si>
    <t>中間変数K_1</t>
    <rPh sb="0" eb="4">
      <t>チュウカンヘンスウ</t>
    </rPh>
    <phoneticPr fontId="17"/>
  </si>
  <si>
    <t>中間変数K_0</t>
    <rPh sb="0" eb="4">
      <t>チュウカンヘンスウ</t>
    </rPh>
    <phoneticPr fontId="17"/>
  </si>
  <si>
    <t>解の対称性から符号を以下のように割り振る</t>
    <rPh sb="0" eb="1">
      <t>カイ</t>
    </rPh>
    <rPh sb="2" eb="5">
      <t>タイショウセイ</t>
    </rPh>
    <rPh sb="7" eb="9">
      <t>フゴウ</t>
    </rPh>
    <rPh sb="10" eb="12">
      <t>イカ</t>
    </rPh>
    <rPh sb="16" eb="17">
      <t>ワ</t>
    </rPh>
    <rPh sb="18" eb="19">
      <t>フ</t>
    </rPh>
    <phoneticPr fontId="17"/>
  </si>
  <si>
    <t>1実数解の場合</t>
    <rPh sb="1" eb="4">
      <t>ジッスウカイ</t>
    </rPh>
    <rPh sb="5" eb="7">
      <t>バアイ</t>
    </rPh>
    <phoneticPr fontId="17"/>
  </si>
  <si>
    <t>3重解の場合</t>
    <rPh sb="1" eb="3">
      <t>ジュウカイ</t>
    </rPh>
    <rPh sb="4" eb="6">
      <t>バアイ</t>
    </rPh>
    <phoneticPr fontId="17"/>
  </si>
  <si>
    <t>大きい2重解の場合</t>
    <rPh sb="0" eb="1">
      <t>オオ</t>
    </rPh>
    <rPh sb="4" eb="6">
      <t>ジュウカイ</t>
    </rPh>
    <rPh sb="7" eb="9">
      <t>バアイ</t>
    </rPh>
    <phoneticPr fontId="17"/>
  </si>
  <si>
    <t>定数q</t>
    <rPh sb="0" eb="2">
      <t>テイスウ</t>
    </rPh>
    <phoneticPr fontId="17"/>
  </si>
  <si>
    <t>1次項係数p</t>
    <rPh sb="1" eb="3">
      <t>ジコウ</t>
    </rPh>
    <rPh sb="3" eb="5">
      <t>ケイスウ</t>
    </rPh>
    <phoneticPr fontId="17"/>
  </si>
  <si>
    <t>D_2</t>
    <phoneticPr fontId="17"/>
  </si>
  <si>
    <t>D_2&lt;0　導関数の3次項の係数が正数の場合は大きい2重解。負数の場合は小さい2重解</t>
    <rPh sb="6" eb="9">
      <t>ドウカンスウ</t>
    </rPh>
    <rPh sb="11" eb="13">
      <t>ジコウ</t>
    </rPh>
    <rPh sb="14" eb="16">
      <t>ケイスウ</t>
    </rPh>
    <rPh sb="17" eb="19">
      <t>セイスウ</t>
    </rPh>
    <rPh sb="20" eb="22">
      <t>バアイ</t>
    </rPh>
    <rPh sb="23" eb="24">
      <t>オオ</t>
    </rPh>
    <rPh sb="27" eb="29">
      <t>ジュウカイ</t>
    </rPh>
    <rPh sb="30" eb="32">
      <t>フスウ</t>
    </rPh>
    <rPh sb="33" eb="35">
      <t>バアイ</t>
    </rPh>
    <rPh sb="36" eb="37">
      <t>チイ</t>
    </rPh>
    <rPh sb="40" eb="42">
      <t>ジュウカイ</t>
    </rPh>
    <phoneticPr fontId="17"/>
  </si>
  <si>
    <t>D_2&gt;0　導関数の3次項の係数が正数の場合は小さい2重解。負数の場合は大きい2重解</t>
    <rPh sb="6" eb="9">
      <t>ドウカンスウ</t>
    </rPh>
    <rPh sb="11" eb="13">
      <t>ジコウ</t>
    </rPh>
    <rPh sb="14" eb="16">
      <t>ケイスウ</t>
    </rPh>
    <rPh sb="17" eb="19">
      <t>セイスウ</t>
    </rPh>
    <rPh sb="20" eb="22">
      <t>バアイ</t>
    </rPh>
    <rPh sb="23" eb="24">
      <t>チイ</t>
    </rPh>
    <rPh sb="27" eb="29">
      <t>ジュウカイ</t>
    </rPh>
    <rPh sb="30" eb="32">
      <t>フスウ</t>
    </rPh>
    <rPh sb="33" eb="35">
      <t>バアイ</t>
    </rPh>
    <rPh sb="36" eb="37">
      <t>オオ</t>
    </rPh>
    <rPh sb="40" eb="42">
      <t>ジュウカイ</t>
    </rPh>
    <phoneticPr fontId="17"/>
  </si>
  <si>
    <t>D_2=0　3重解</t>
    <rPh sb="7" eb="9">
      <t>ジュウカイ</t>
    </rPh>
    <phoneticPr fontId="17"/>
  </si>
  <si>
    <t>小さい2重解の場合</t>
    <rPh sb="0" eb="1">
      <t>チイ</t>
    </rPh>
    <rPh sb="4" eb="6">
      <t>ジュウカイ</t>
    </rPh>
    <rPh sb="7" eb="9">
      <t>バアイ</t>
    </rPh>
    <phoneticPr fontId="17"/>
  </si>
  <si>
    <t>D_1</t>
    <phoneticPr fontId="17"/>
  </si>
  <si>
    <t>D_1=0　実数の重解</t>
  </si>
  <si>
    <t>D_1&lt;0　1実数解</t>
    <rPh sb="7" eb="10">
      <t>ジッスウカイ</t>
    </rPh>
    <phoneticPr fontId="17"/>
  </si>
  <si>
    <t>D_1&gt;0　相異なる3実数解</t>
    <rPh sb="6" eb="8">
      <t>アイコト</t>
    </rPh>
    <rPh sb="11" eb="14">
      <t>ジッスウカイ</t>
    </rPh>
    <phoneticPr fontId="17"/>
  </si>
  <si>
    <t>定数C</t>
    <rPh sb="0" eb="2">
      <t>テイスウ</t>
    </rPh>
    <phoneticPr fontId="17"/>
  </si>
  <si>
    <t>導関数の判定式</t>
    <rPh sb="0" eb="3">
      <t>ドウカンスウ</t>
    </rPh>
    <rPh sb="4" eb="7">
      <t>ハンテイシキ</t>
    </rPh>
    <phoneticPr fontId="17"/>
  </si>
  <si>
    <t>1次項係数B</t>
    <rPh sb="1" eb="3">
      <t>ジコウ</t>
    </rPh>
    <rPh sb="3" eb="5">
      <t>ケイスウ</t>
    </rPh>
    <phoneticPr fontId="17"/>
  </si>
  <si>
    <t>定数a_0</t>
    <rPh sb="0" eb="2">
      <t>テイスウ</t>
    </rPh>
    <phoneticPr fontId="17"/>
  </si>
  <si>
    <t>極大値の無次元流量 C_f,p</t>
    <rPh sb="0" eb="3">
      <t>キョクダイチ</t>
    </rPh>
    <rPh sb="4" eb="9">
      <t>ムジゲンリュウリョウ</t>
    </rPh>
    <phoneticPr fontId="17"/>
  </si>
  <si>
    <t>相異なる3実数解の場合</t>
    <rPh sb="0" eb="2">
      <t>アイコト</t>
    </rPh>
    <rPh sb="5" eb="8">
      <t>ジッスウカイ</t>
    </rPh>
    <rPh sb="9" eb="11">
      <t>バアイ</t>
    </rPh>
    <phoneticPr fontId="17"/>
  </si>
  <si>
    <t>2次項係数A</t>
    <rPh sb="1" eb="3">
      <t>ジコウ</t>
    </rPh>
    <rPh sb="3" eb="5">
      <t>ケイスウ</t>
    </rPh>
    <phoneticPr fontId="17"/>
  </si>
  <si>
    <t>1次項係数a_1</t>
    <rPh sb="1" eb="3">
      <t>ジコウ</t>
    </rPh>
    <rPh sb="3" eb="5">
      <t>ケイスウ</t>
    </rPh>
    <phoneticPr fontId="17"/>
  </si>
  <si>
    <t>極大値が存在する</t>
    <rPh sb="0" eb="3">
      <t>キョクダイチ</t>
    </rPh>
    <rPh sb="4" eb="6">
      <t>ソンザイ</t>
    </rPh>
    <phoneticPr fontId="17"/>
  </si>
  <si>
    <t>3次項</t>
    <rPh sb="1" eb="3">
      <t>ジコウ</t>
    </rPh>
    <phoneticPr fontId="17"/>
  </si>
  <si>
    <t>2次項係数a_2</t>
    <rPh sb="1" eb="3">
      <t>ジコウ</t>
    </rPh>
    <rPh sb="3" eb="5">
      <t>ケイスウ</t>
    </rPh>
    <phoneticPr fontId="17"/>
  </si>
  <si>
    <t>rate: diff/y</t>
    <phoneticPr fontId="17"/>
  </si>
  <si>
    <t>diff: y'-y</t>
    <phoneticPr fontId="17"/>
  </si>
  <si>
    <t>y'</t>
    <phoneticPr fontId="17"/>
  </si>
  <si>
    <t>x^4</t>
    <phoneticPr fontId="17"/>
  </si>
  <si>
    <t>x^3</t>
    <phoneticPr fontId="17"/>
  </si>
  <si>
    <t>x^2</t>
    <phoneticPr fontId="17"/>
  </si>
  <si>
    <t>x</t>
    <phoneticPr fontId="17"/>
  </si>
  <si>
    <t>y</t>
    <phoneticPr fontId="17"/>
  </si>
  <si>
    <t>◇極値</t>
    <rPh sb="1" eb="3">
      <t>キョクチ</t>
    </rPh>
    <phoneticPr fontId="17"/>
  </si>
  <si>
    <r>
      <t>定数α</t>
    </r>
    <r>
      <rPr>
        <vertAlign val="subscript"/>
        <sz val="11"/>
        <color theme="1"/>
        <rFont val="游ゴシック"/>
        <family val="3"/>
        <charset val="128"/>
        <scheme val="minor"/>
      </rPr>
      <t>5</t>
    </r>
    <rPh sb="0" eb="2">
      <t>テイスウ</t>
    </rPh>
    <phoneticPr fontId="17"/>
  </si>
  <si>
    <t>導関数の係数の符号</t>
    <rPh sb="0" eb="3">
      <t>ドウカンスウ</t>
    </rPh>
    <rPh sb="4" eb="6">
      <t>ケイスウ</t>
    </rPh>
    <rPh sb="7" eb="9">
      <t>フゴウ</t>
    </rPh>
    <phoneticPr fontId="17"/>
  </si>
  <si>
    <t>（2重解は候補にならない）</t>
    <rPh sb="2" eb="4">
      <t>ジュウカイ</t>
    </rPh>
    <rPh sb="5" eb="7">
      <t>コウホ</t>
    </rPh>
    <phoneticPr fontId="17"/>
  </si>
  <si>
    <t>（3実数解の中間解が候補となる）</t>
    <rPh sb="2" eb="5">
      <t>ジッスウカイ</t>
    </rPh>
    <rPh sb="6" eb="8">
      <t>チュウカン</t>
    </rPh>
    <rPh sb="8" eb="9">
      <t>カイ</t>
    </rPh>
    <rPh sb="10" eb="12">
      <t>コウホ</t>
    </rPh>
    <phoneticPr fontId="17"/>
  </si>
  <si>
    <t>3次項係数a_3</t>
    <rPh sb="1" eb="3">
      <t>ジコウ</t>
    </rPh>
    <rPh sb="3" eb="5">
      <t>ケイスウ</t>
    </rPh>
    <phoneticPr fontId="17"/>
  </si>
  <si>
    <t>C_f</t>
    <phoneticPr fontId="17"/>
  </si>
  <si>
    <t>C_h</t>
    <phoneticPr fontId="17"/>
  </si>
  <si>
    <t>LINEST結果確認</t>
    <rPh sb="6" eb="8">
      <t>ケッカ</t>
    </rPh>
    <rPh sb="8" eb="10">
      <t>カクニン</t>
    </rPh>
    <phoneticPr fontId="17"/>
  </si>
  <si>
    <t>LINEST用引数</t>
    <rPh sb="6" eb="7">
      <t>ヨウ</t>
    </rPh>
    <rPh sb="7" eb="9">
      <t>ヒキスウ</t>
    </rPh>
    <phoneticPr fontId="17"/>
  </si>
  <si>
    <r>
      <t>1次項係数α</t>
    </r>
    <r>
      <rPr>
        <vertAlign val="subscript"/>
        <sz val="11"/>
        <color theme="1"/>
        <rFont val="游ゴシック"/>
        <family val="3"/>
        <charset val="128"/>
        <scheme val="minor"/>
      </rPr>
      <t>4</t>
    </r>
    <rPh sb="1" eb="5">
      <t>ジコウケイスウ</t>
    </rPh>
    <phoneticPr fontId="17"/>
  </si>
  <si>
    <t>実数解のパターンでの絞り込みはできない。</t>
    <rPh sb="0" eb="3">
      <t>ジッスウカイ</t>
    </rPh>
    <rPh sb="10" eb="11">
      <t>シボ</t>
    </rPh>
    <rPh sb="12" eb="13">
      <t>コ</t>
    </rPh>
    <phoneticPr fontId="17"/>
  </si>
  <si>
    <t>相異なる3実数解を持つ事</t>
    <rPh sb="0" eb="2">
      <t>アイコト</t>
    </rPh>
    <rPh sb="5" eb="8">
      <t>ジッスウカイ</t>
    </rPh>
    <rPh sb="9" eb="10">
      <t>モ</t>
    </rPh>
    <rPh sb="11" eb="12">
      <t>コト</t>
    </rPh>
    <phoneticPr fontId="17"/>
  </si>
  <si>
    <t>導関数</t>
    <rPh sb="0" eb="3">
      <t>ドウカンスウ</t>
    </rPh>
    <phoneticPr fontId="17"/>
  </si>
  <si>
    <t>x軸</t>
    <rPh sb="1" eb="2">
      <t>ジク</t>
    </rPh>
    <phoneticPr fontId="17"/>
  </si>
  <si>
    <t>y軸</t>
    <rPh sb="1" eb="2">
      <t>ジク</t>
    </rPh>
    <phoneticPr fontId="17"/>
  </si>
  <si>
    <t>定数α_5</t>
    <rPh sb="0" eb="2">
      <t>テイスウ</t>
    </rPh>
    <phoneticPr fontId="17"/>
  </si>
  <si>
    <r>
      <t>2次項係数α</t>
    </r>
    <r>
      <rPr>
        <vertAlign val="subscript"/>
        <sz val="11"/>
        <color theme="1"/>
        <rFont val="游ゴシック"/>
        <family val="3"/>
        <charset val="128"/>
        <scheme val="minor"/>
      </rPr>
      <t>3</t>
    </r>
    <rPh sb="1" eb="3">
      <t>ジコウ</t>
    </rPh>
    <rPh sb="3" eb="5">
      <t>ケイスウ</t>
    </rPh>
    <phoneticPr fontId="17"/>
  </si>
  <si>
    <t>▷導関数3次項の係数が負数の時</t>
    <rPh sb="1" eb="4">
      <t>ドウカンスウ</t>
    </rPh>
    <rPh sb="5" eb="7">
      <t>ジコウ</t>
    </rPh>
    <rPh sb="8" eb="10">
      <t>ケイスウ</t>
    </rPh>
    <rPh sb="11" eb="13">
      <t>フスウ</t>
    </rPh>
    <rPh sb="14" eb="15">
      <t>トキ</t>
    </rPh>
    <phoneticPr fontId="17"/>
  </si>
  <si>
    <t>▷導関数3次項の係数が正数の時</t>
    <rPh sb="1" eb="4">
      <t>ドウカンスウ</t>
    </rPh>
    <rPh sb="5" eb="7">
      <t>ジコウ</t>
    </rPh>
    <rPh sb="8" eb="10">
      <t>ケイスウ</t>
    </rPh>
    <rPh sb="11" eb="13">
      <t>セイスウ</t>
    </rPh>
    <rPh sb="14" eb="15">
      <t>トキ</t>
    </rPh>
    <phoneticPr fontId="17"/>
  </si>
  <si>
    <t>1次項係数α_4</t>
    <rPh sb="1" eb="5">
      <t>ジコウケイスウ</t>
    </rPh>
    <phoneticPr fontId="17"/>
  </si>
  <si>
    <r>
      <t>3次項係数α</t>
    </r>
    <r>
      <rPr>
        <vertAlign val="subscript"/>
        <sz val="11"/>
        <color theme="1"/>
        <rFont val="游ゴシック"/>
        <family val="3"/>
        <charset val="128"/>
        <scheme val="minor"/>
      </rPr>
      <t>2</t>
    </r>
    <rPh sb="1" eb="5">
      <t>ジコウケイスウ</t>
    </rPh>
    <phoneticPr fontId="17"/>
  </si>
  <si>
    <t>最大値</t>
    <rPh sb="0" eb="3">
      <t>サイダイチ</t>
    </rPh>
    <phoneticPr fontId="17"/>
  </si>
  <si>
    <t>外挿率</t>
    <rPh sb="0" eb="2">
      <t>ガイソウ</t>
    </rPh>
    <rPh sb="2" eb="3">
      <t>リツ</t>
    </rPh>
    <phoneticPr fontId="17"/>
  </si>
  <si>
    <t>α_5</t>
    <phoneticPr fontId="17"/>
  </si>
  <si>
    <t>α_4</t>
    <phoneticPr fontId="17"/>
  </si>
  <si>
    <t>α_3</t>
    <phoneticPr fontId="17"/>
  </si>
  <si>
    <t>α_2</t>
    <phoneticPr fontId="17"/>
  </si>
  <si>
    <t>α_1</t>
    <phoneticPr fontId="17"/>
  </si>
  <si>
    <t>2次項係数α_3</t>
    <rPh sb="1" eb="3">
      <t>ジコウ</t>
    </rPh>
    <rPh sb="3" eb="5">
      <t>ケイスウ</t>
    </rPh>
    <phoneticPr fontId="17"/>
  </si>
  <si>
    <r>
      <t>4次項係数α</t>
    </r>
    <r>
      <rPr>
        <vertAlign val="subscript"/>
        <sz val="11"/>
        <color theme="1"/>
        <rFont val="游ゴシック"/>
        <family val="3"/>
        <charset val="128"/>
        <scheme val="minor"/>
      </rPr>
      <t>1</t>
    </r>
    <rPh sb="1" eb="3">
      <t>ジコウ</t>
    </rPh>
    <rPh sb="3" eb="5">
      <t>ケイスウ</t>
    </rPh>
    <phoneticPr fontId="17"/>
  </si>
  <si>
    <t>極大値を持たないか、極大値の候補が1つのみである</t>
    <rPh sb="0" eb="3">
      <t>キョクダイチ</t>
    </rPh>
    <rPh sb="4" eb="5">
      <t>モ</t>
    </rPh>
    <rPh sb="10" eb="13">
      <t>キョクダイチ</t>
    </rPh>
    <rPh sb="14" eb="16">
      <t>コウホ</t>
    </rPh>
    <phoneticPr fontId="17"/>
  </si>
  <si>
    <t>極大値</t>
    <rPh sb="0" eb="3">
      <t>キョクダイチ</t>
    </rPh>
    <phoneticPr fontId="17"/>
  </si>
  <si>
    <t>極大値を取るx</t>
    <rPh sb="0" eb="3">
      <t>キョクダイチ</t>
    </rPh>
    <rPh sb="4" eb="5">
      <t>ト</t>
    </rPh>
    <phoneticPr fontId="17"/>
  </si>
  <si>
    <t>極大値の候補</t>
    <rPh sb="0" eb="3">
      <t>キョクダイチ</t>
    </rPh>
    <rPh sb="4" eb="6">
      <t>コウホ</t>
    </rPh>
    <phoneticPr fontId="17"/>
  </si>
  <si>
    <t>極大値を取るxの候補</t>
    <rPh sb="0" eb="3">
      <t>キョクダイチ</t>
    </rPh>
    <rPh sb="4" eb="5">
      <t>ト</t>
    </rPh>
    <rPh sb="8" eb="10">
      <t>コウホ</t>
    </rPh>
    <phoneticPr fontId="17"/>
  </si>
  <si>
    <t>最小値</t>
    <rPh sb="0" eb="3">
      <t>サイショウチ</t>
    </rPh>
    <phoneticPr fontId="17"/>
  </si>
  <si>
    <t>導関数の解</t>
    <rPh sb="0" eb="3">
      <t>ドウカンスウ</t>
    </rPh>
    <rPh sb="4" eb="5">
      <t>カイ</t>
    </rPh>
    <phoneticPr fontId="17"/>
  </si>
  <si>
    <t>導関数の値が0かつ、前後の値が正から負に変化する事</t>
    <rPh sb="0" eb="3">
      <t>ドウカンスウ</t>
    </rPh>
    <rPh sb="4" eb="5">
      <t>アタイ</t>
    </rPh>
    <rPh sb="10" eb="12">
      <t>マエゴ</t>
    </rPh>
    <rPh sb="13" eb="14">
      <t>アタイ</t>
    </rPh>
    <rPh sb="15" eb="16">
      <t>セイ</t>
    </rPh>
    <rPh sb="18" eb="19">
      <t>フ</t>
    </rPh>
    <rPh sb="20" eb="22">
      <t>ヘンカ</t>
    </rPh>
    <rPh sb="24" eb="25">
      <t>コト</t>
    </rPh>
    <phoneticPr fontId="17"/>
  </si>
  <si>
    <t>カルダノの方法</t>
    <rPh sb="5" eb="7">
      <t>ホウホウ</t>
    </rPh>
    <phoneticPr fontId="17"/>
  </si>
  <si>
    <t>3次項係数α_2</t>
    <rPh sb="1" eb="5">
      <t>ジコウケイスウ</t>
    </rPh>
    <phoneticPr fontId="17"/>
  </si>
  <si>
    <t>▶極大値をとるxの決定</t>
    <rPh sb="1" eb="4">
      <t>キョクダイチ</t>
    </rPh>
    <rPh sb="9" eb="11">
      <t>ケッテイ</t>
    </rPh>
    <phoneticPr fontId="17"/>
  </si>
  <si>
    <t>▶極大値の調査範囲</t>
    <rPh sb="1" eb="4">
      <t>キョクダイチ</t>
    </rPh>
    <rPh sb="5" eb="9">
      <t>チョウサハンイ</t>
    </rPh>
    <phoneticPr fontId="17"/>
  </si>
  <si>
    <t>▶極大値を取るxの候補</t>
    <rPh sb="1" eb="4">
      <t>キョクダイチ</t>
    </rPh>
    <rPh sb="5" eb="6">
      <t>ト</t>
    </rPh>
    <rPh sb="9" eb="11">
      <t>コウホ</t>
    </rPh>
    <phoneticPr fontId="17"/>
  </si>
  <si>
    <t>▶導関数の形状の確認</t>
    <phoneticPr fontId="17"/>
  </si>
  <si>
    <t>▶極大値の候補になる条件</t>
    <rPh sb="1" eb="4">
      <t>キョクダイチ</t>
    </rPh>
    <rPh sb="5" eb="7">
      <t>コウホ</t>
    </rPh>
    <rPh sb="10" eb="12">
      <t>ジョウケン</t>
    </rPh>
    <phoneticPr fontId="17"/>
  </si>
  <si>
    <t>▶導関数（3次方程式）の解</t>
    <rPh sb="1" eb="4">
      <t>ドウカンスウ</t>
    </rPh>
    <rPh sb="6" eb="10">
      <t>ジホウテイシキ</t>
    </rPh>
    <rPh sb="12" eb="13">
      <t>カイ</t>
    </rPh>
    <phoneticPr fontId="17"/>
  </si>
  <si>
    <t>▶4次近似式の導関数</t>
    <rPh sb="2" eb="6">
      <t>ジキンジシキ</t>
    </rPh>
    <rPh sb="7" eb="10">
      <t>ドウカンスウ</t>
    </rPh>
    <phoneticPr fontId="17"/>
  </si>
  <si>
    <t>4次項係数α_1</t>
    <rPh sb="1" eb="3">
      <t>ジコウ</t>
    </rPh>
    <rPh sb="3" eb="5">
      <t>ケイスウ</t>
    </rPh>
    <phoneticPr fontId="17"/>
  </si>
  <si>
    <t>◇最小二乗回帰式（4次多項式）の係数</t>
    <rPh sb="1" eb="3">
      <t>サイショウ</t>
    </rPh>
    <rPh sb="3" eb="5">
      <t>ニジョウ</t>
    </rPh>
    <rPh sb="5" eb="7">
      <t>カイキ</t>
    </rPh>
    <rPh sb="7" eb="8">
      <t>シキ</t>
    </rPh>
    <rPh sb="10" eb="11">
      <t>ジ</t>
    </rPh>
    <rPh sb="11" eb="14">
      <t>タコウシキ</t>
    </rPh>
    <rPh sb="16" eb="18">
      <t>ケイスウ</t>
    </rPh>
    <phoneticPr fontId="17"/>
  </si>
  <si>
    <t>◇極大値での判定</t>
    <rPh sb="1" eb="4">
      <t>キョクダイチ</t>
    </rPh>
    <rPh sb="6" eb="8">
      <t>ハンテイ</t>
    </rPh>
    <phoneticPr fontId="17"/>
  </si>
  <si>
    <t>◇極大値の算出</t>
    <rPh sb="1" eb="4">
      <t>キョクダイチ</t>
    </rPh>
    <rPh sb="5" eb="7">
      <t>サンシュツ</t>
    </rPh>
    <phoneticPr fontId="17"/>
  </si>
  <si>
    <t>◇係数の推定</t>
    <rPh sb="1" eb="3">
      <t>ケイスウ</t>
    </rPh>
    <rPh sb="4" eb="6">
      <t>スイテイ</t>
    </rPh>
    <phoneticPr fontId="17"/>
  </si>
  <si>
    <t>◇最小二乗回帰式（4次多項式）の係数</t>
    <rPh sb="1" eb="3">
      <t>サイショウ</t>
    </rPh>
    <rPh sb="3" eb="5">
      <t>ニジョウ</t>
    </rPh>
    <rPh sb="5" eb="7">
      <t>カイキ</t>
    </rPh>
    <rPh sb="7" eb="8">
      <t>シキ</t>
    </rPh>
    <rPh sb="10" eb="14">
      <t>ジタコウシキ</t>
    </rPh>
    <rPh sb="16" eb="18">
      <t>ケイスウ</t>
    </rPh>
    <phoneticPr fontId="17"/>
  </si>
  <si>
    <t>無次元の特性曲線の係数の推定：流量－ポンプ前後差圧特性曲線</t>
    <rPh sb="0" eb="3">
      <t>ムジゲン</t>
    </rPh>
    <rPh sb="4" eb="8">
      <t>トクセイキョクセン</t>
    </rPh>
    <rPh sb="9" eb="11">
      <t>ケイスウ</t>
    </rPh>
    <rPh sb="12" eb="14">
      <t>スイテイ</t>
    </rPh>
    <rPh sb="15" eb="17">
      <t>リュウリョウ</t>
    </rPh>
    <rPh sb="21" eb="29">
      <t>ゼンゴサアツトクセイキョクセン</t>
    </rPh>
    <phoneticPr fontId="17"/>
  </si>
  <si>
    <t>η</t>
    <phoneticPr fontId="17"/>
  </si>
  <si>
    <t>定数β_5</t>
    <rPh sb="0" eb="2">
      <t>テイスウ</t>
    </rPh>
    <phoneticPr fontId="17"/>
  </si>
  <si>
    <t>1次項係数β_4</t>
    <rPh sb="1" eb="5">
      <t>ジコウケイスウ</t>
    </rPh>
    <phoneticPr fontId="17"/>
  </si>
  <si>
    <t>β_5</t>
  </si>
  <si>
    <t>β_4</t>
  </si>
  <si>
    <t>β_3</t>
  </si>
  <si>
    <t>β_2</t>
  </si>
  <si>
    <t>β_1</t>
  </si>
  <si>
    <t>2次項係数β_3</t>
    <rPh sb="1" eb="3">
      <t>ジコウ</t>
    </rPh>
    <rPh sb="3" eb="5">
      <t>ケイスウ</t>
    </rPh>
    <phoneticPr fontId="17"/>
  </si>
  <si>
    <t>3次項係数β_2</t>
    <rPh sb="1" eb="5">
      <t>ジコウケイスウ</t>
    </rPh>
    <phoneticPr fontId="17"/>
  </si>
  <si>
    <t>4次項係数β_1</t>
    <rPh sb="1" eb="3">
      <t>ジコウ</t>
    </rPh>
    <rPh sb="3" eb="5">
      <t>ケイスウ</t>
    </rPh>
    <phoneticPr fontId="17"/>
  </si>
  <si>
    <t>無次元の特性曲線の係数の推定：流量－ポンプ効率特性曲線</t>
    <rPh sb="0" eb="3">
      <t>ムジゲン</t>
    </rPh>
    <rPh sb="4" eb="8">
      <t>トクセイキョクセン</t>
    </rPh>
    <rPh sb="9" eb="11">
      <t>ケイスウ</t>
    </rPh>
    <rPh sb="12" eb="14">
      <t>スイテイ</t>
    </rPh>
    <rPh sb="15" eb="17">
      <t>リュウリョウ</t>
    </rPh>
    <rPh sb="21" eb="23">
      <t>コウリツ</t>
    </rPh>
    <rPh sb="23" eb="25">
      <t>トクセイ</t>
    </rPh>
    <rPh sb="25" eb="27">
      <t>キョクセン</t>
    </rPh>
    <phoneticPr fontId="17"/>
  </si>
  <si>
    <t>C_W</t>
    <phoneticPr fontId="17"/>
  </si>
  <si>
    <t>定数γ_5</t>
    <rPh sb="0" eb="2">
      <t>テイスウ</t>
    </rPh>
    <phoneticPr fontId="17"/>
  </si>
  <si>
    <t>1次項係数γ_4</t>
    <rPh sb="1" eb="5">
      <t>ジコウケイスウ</t>
    </rPh>
    <phoneticPr fontId="17"/>
  </si>
  <si>
    <t>γ_5</t>
  </si>
  <si>
    <t>γ_4</t>
  </si>
  <si>
    <t>γ_3</t>
  </si>
  <si>
    <t>γ_2</t>
  </si>
  <si>
    <t>γ_1</t>
  </si>
  <si>
    <t>2次項係数γ_3</t>
    <rPh sb="1" eb="3">
      <t>ジコウ</t>
    </rPh>
    <rPh sb="3" eb="5">
      <t>ケイスウ</t>
    </rPh>
    <phoneticPr fontId="17"/>
  </si>
  <si>
    <t>3次項係数γ_2</t>
    <rPh sb="1" eb="5">
      <t>ジコウケイスウ</t>
    </rPh>
    <phoneticPr fontId="17"/>
  </si>
  <si>
    <t>4次項係数γ_1</t>
    <rPh sb="1" eb="3">
      <t>ジコウ</t>
    </rPh>
    <rPh sb="3" eb="5">
      <t>ケイスウ</t>
    </rPh>
    <phoneticPr fontId="17"/>
  </si>
  <si>
    <t>無次元の特性曲線の係数の推定：流量－軸動力特性曲線</t>
    <rPh sb="0" eb="3">
      <t>ムジゲン</t>
    </rPh>
    <rPh sb="4" eb="8">
      <t>トクセイキョクセン</t>
    </rPh>
    <rPh sb="9" eb="11">
      <t>ケイスウ</t>
    </rPh>
    <rPh sb="12" eb="14">
      <t>スイテイ</t>
    </rPh>
    <rPh sb="15" eb="17">
      <t>リュウリョウ</t>
    </rPh>
    <rPh sb="18" eb="21">
      <t>ジクドウリョク</t>
    </rPh>
    <rPh sb="21" eb="23">
      <t>トクセイ</t>
    </rPh>
    <rPh sb="23" eb="25">
      <t>キョクセン</t>
    </rPh>
    <phoneticPr fontId="17"/>
  </si>
  <si>
    <t>回転速度 N_c</t>
    <rPh sb="0" eb="2">
      <t>カイテン</t>
    </rPh>
    <rPh sb="2" eb="4">
      <t>ソクド</t>
    </rPh>
    <phoneticPr fontId="17"/>
  </si>
  <si>
    <t>収束した</t>
    <rPh sb="0" eb="2">
      <t>シュウソク</t>
    </rPh>
    <phoneticPr fontId="17"/>
  </si>
  <si>
    <t>計算結果</t>
    <rPh sb="0" eb="4">
      <t>ケイサンケッカ</t>
    </rPh>
    <phoneticPr fontId="17"/>
  </si>
  <si>
    <t>許容誤差ε</t>
    <rPh sb="0" eb="4">
      <t>キョヨウゴサ</t>
    </rPh>
    <phoneticPr fontId="17"/>
  </si>
  <si>
    <t>初期値での解</t>
    <rPh sb="0" eb="3">
      <t>ショキチ</t>
    </rPh>
    <rPh sb="5" eb="6">
      <t>カイ</t>
    </rPh>
    <phoneticPr fontId="17"/>
  </si>
  <si>
    <t>回</t>
    <rPh sb="0" eb="1">
      <t>カイ</t>
    </rPh>
    <phoneticPr fontId="17"/>
  </si>
  <si>
    <t>繰り返し最大回数n_iteration,max</t>
    <rPh sb="0" eb="1">
      <t>ク</t>
    </rPh>
    <rPh sb="2" eb="3">
      <t>カエ</t>
    </rPh>
    <rPh sb="4" eb="6">
      <t>サイダイ</t>
    </rPh>
    <rPh sb="6" eb="8">
      <t>カイスウ</t>
    </rPh>
    <phoneticPr fontId="17"/>
  </si>
  <si>
    <t>初期値が解に該当する</t>
    <rPh sb="0" eb="3">
      <t>ショキチ</t>
    </rPh>
    <rPh sb="4" eb="5">
      <t>カイ</t>
    </rPh>
    <rPh sb="6" eb="8">
      <t>ガイトウ</t>
    </rPh>
    <phoneticPr fontId="17"/>
  </si>
  <si>
    <t>▶数値計算</t>
    <rPh sb="1" eb="5">
      <t>スウチケイサン</t>
    </rPh>
    <phoneticPr fontId="17"/>
  </si>
  <si>
    <t>不適切な初期値である</t>
    <rPh sb="0" eb="3">
      <t>フテキセツ</t>
    </rPh>
    <rPh sb="4" eb="7">
      <t>ショキチ</t>
    </rPh>
    <phoneticPr fontId="17"/>
  </si>
  <si>
    <t>区間初期値の計算</t>
    <rPh sb="0" eb="5">
      <t>クカンショキチ</t>
    </rPh>
    <rPh sb="6" eb="8">
      <t>ケイサン</t>
    </rPh>
    <phoneticPr fontId="17"/>
  </si>
  <si>
    <t>最大回転数 N_max</t>
    <rPh sb="0" eb="2">
      <t>サイダイ</t>
    </rPh>
    <rPh sb="2" eb="5">
      <t>カイテンスウ</t>
    </rPh>
    <phoneticPr fontId="17"/>
  </si>
  <si>
    <t>最小回転数 N_min</t>
    <rPh sb="0" eb="5">
      <t>サイショウカイテンスウ</t>
    </rPh>
    <phoneticPr fontId="17"/>
  </si>
  <si>
    <t>要求流量は検討範囲内である</t>
    <rPh sb="0" eb="4">
      <t>ヨウキュウリュウリョウ</t>
    </rPh>
    <rPh sb="5" eb="10">
      <t>ケントウハンイナイ</t>
    </rPh>
    <phoneticPr fontId="17"/>
  </si>
  <si>
    <t>計算区間の初期値</t>
    <rPh sb="0" eb="4">
      <t>ケイサンクカン</t>
    </rPh>
    <rPh sb="5" eb="8">
      <t>ショキチ</t>
    </rPh>
    <phoneticPr fontId="17"/>
  </si>
  <si>
    <t>▶検討範囲内の判定</t>
    <rPh sb="1" eb="6">
      <t>ケントウハンイナイ</t>
    </rPh>
    <rPh sb="7" eb="9">
      <t>ハンテイ</t>
    </rPh>
    <phoneticPr fontId="17"/>
  </si>
  <si>
    <t>定数項 a_0</t>
    <rPh sb="0" eb="3">
      <t>テイスウコウ</t>
    </rPh>
    <phoneticPr fontId="17"/>
  </si>
  <si>
    <t>上限 C_f,max</t>
    <rPh sb="0" eb="2">
      <t>ジョウゲン</t>
    </rPh>
    <phoneticPr fontId="17"/>
  </si>
  <si>
    <t>▶無次元の流量－ポンプ前後差圧特性曲線</t>
    <rPh sb="1" eb="4">
      <t>ムジゲン</t>
    </rPh>
    <rPh sb="5" eb="7">
      <t>リュウリョウ</t>
    </rPh>
    <rPh sb="11" eb="19">
      <t>ゼンゴサアツトクセイキョクセン</t>
    </rPh>
    <phoneticPr fontId="17"/>
  </si>
  <si>
    <t>1次項係数 a_1</t>
    <rPh sb="1" eb="5">
      <t>ジコウケイスウ</t>
    </rPh>
    <phoneticPr fontId="17"/>
  </si>
  <si>
    <t>2次項係数 a_2</t>
    <rPh sb="1" eb="3">
      <t>ジコウ</t>
    </rPh>
    <rPh sb="3" eb="5">
      <t>ケイスウ</t>
    </rPh>
    <phoneticPr fontId="17"/>
  </si>
  <si>
    <t>回転速度比の上限 R_N,max</t>
    <rPh sb="0" eb="2">
      <t>カイテン</t>
    </rPh>
    <rPh sb="2" eb="4">
      <t>ソクド</t>
    </rPh>
    <rPh sb="4" eb="5">
      <t>ヒ</t>
    </rPh>
    <rPh sb="6" eb="8">
      <t>ジョウゲン</t>
    </rPh>
    <phoneticPr fontId="17"/>
  </si>
  <si>
    <t>3次項係数 a_3</t>
    <rPh sb="1" eb="5">
      <t>ジコウケイスウ</t>
    </rPh>
    <phoneticPr fontId="17"/>
  </si>
  <si>
    <t>回転速度比の下限 R_N,min</t>
    <rPh sb="0" eb="2">
      <t>カイテン</t>
    </rPh>
    <rPh sb="2" eb="4">
      <t>ソクド</t>
    </rPh>
    <rPh sb="4" eb="5">
      <t>ヒ</t>
    </rPh>
    <rPh sb="6" eb="8">
      <t>カゲン</t>
    </rPh>
    <phoneticPr fontId="17"/>
  </si>
  <si>
    <t>4次項係数 a_4</t>
    <rPh sb="1" eb="3">
      <t>ジコウ</t>
    </rPh>
    <rPh sb="3" eb="5">
      <t>ケイスウ</t>
    </rPh>
    <phoneticPr fontId="17"/>
  </si>
  <si>
    <t>下限 C_f,min</t>
    <rPh sb="0" eb="2">
      <t>カゲン</t>
    </rPh>
    <phoneticPr fontId="17"/>
  </si>
  <si>
    <t>4次多項式の係数</t>
    <rPh sb="1" eb="5">
      <t>ジタコウシキ</t>
    </rPh>
    <rPh sb="6" eb="8">
      <t>ケイスウ</t>
    </rPh>
    <phoneticPr fontId="17"/>
  </si>
  <si>
    <t>Nに関する4次式を数値計算（二分法）で解く</t>
    <rPh sb="2" eb="3">
      <t>カン</t>
    </rPh>
    <rPh sb="6" eb="8">
      <t>ジシキ</t>
    </rPh>
    <rPh sb="9" eb="11">
      <t>スウチ</t>
    </rPh>
    <rPh sb="11" eb="13">
      <t>ケイサン</t>
    </rPh>
    <rPh sb="14" eb="17">
      <t>ニブンホウ</t>
    </rPh>
    <rPh sb="19" eb="20">
      <t>ト</t>
    </rPh>
    <phoneticPr fontId="17"/>
  </si>
  <si>
    <t>▶無限の流量の検討範囲</t>
    <rPh sb="1" eb="3">
      <t>ムゲン</t>
    </rPh>
    <rPh sb="4" eb="6">
      <t>リュウリョウ</t>
    </rPh>
    <rPh sb="7" eb="11">
      <t>ケントウハンイ</t>
    </rPh>
    <phoneticPr fontId="17"/>
  </si>
  <si>
    <t>無次元の要求流量 C_f,c</t>
    <rPh sb="0" eb="3">
      <t>ムジゲン</t>
    </rPh>
    <rPh sb="4" eb="8">
      <t>ヨウキュウリュウリョウ</t>
    </rPh>
    <phoneticPr fontId="17"/>
  </si>
  <si>
    <t>kPa</t>
    <phoneticPr fontId="17"/>
  </si>
  <si>
    <t>要求ポンプ前後差圧 dP_c</t>
    <rPh sb="0" eb="2">
      <t>ヨウキュウ</t>
    </rPh>
    <rPh sb="5" eb="9">
      <t>ゼンゴサアツ</t>
    </rPh>
    <phoneticPr fontId="17"/>
  </si>
  <si>
    <t>要求流量 m_c</t>
    <rPh sb="0" eb="2">
      <t>ヨウキュウ</t>
    </rPh>
    <rPh sb="2" eb="4">
      <t>リュウリョウ</t>
    </rPh>
    <phoneticPr fontId="17"/>
  </si>
  <si>
    <t>◇条件適用後</t>
    <rPh sb="1" eb="6">
      <t>ジョウケンテキヨウゴ</t>
    </rPh>
    <phoneticPr fontId="17"/>
  </si>
  <si>
    <t>◇数値計算</t>
    <rPh sb="1" eb="5">
      <t>スウチケイサン</t>
    </rPh>
    <phoneticPr fontId="17"/>
  </si>
  <si>
    <t>◇要求量の制限</t>
    <rPh sb="1" eb="4">
      <t>ヨウキュウリョウ</t>
    </rPh>
    <rPh sb="5" eb="7">
      <t>セイゲン</t>
    </rPh>
    <phoneticPr fontId="17"/>
  </si>
  <si>
    <t>要求条件における回転速度 N_c</t>
    <rPh sb="0" eb="4">
      <t>ヨウキュウジョウケン</t>
    </rPh>
    <rPh sb="8" eb="10">
      <t>カイテン</t>
    </rPh>
    <rPh sb="10" eb="12">
      <t>ソクド</t>
    </rPh>
    <phoneticPr fontId="17"/>
  </si>
  <si>
    <t>■計算処理</t>
    <rPh sb="1" eb="3">
      <t>ケイサン</t>
    </rPh>
    <rPh sb="3" eb="5">
      <t>ショリ</t>
    </rPh>
    <phoneticPr fontId="17"/>
  </si>
  <si>
    <t>▶無次元の流量－軸動力特性曲線</t>
    <rPh sb="1" eb="4">
      <t>ムジゲン</t>
    </rPh>
    <rPh sb="5" eb="7">
      <t>リュウリョウ</t>
    </rPh>
    <rPh sb="8" eb="11">
      <t>ジクドウリョク</t>
    </rPh>
    <rPh sb="11" eb="13">
      <t>トクセイ</t>
    </rPh>
    <rPh sb="13" eb="15">
      <t>キョクセン</t>
    </rPh>
    <phoneticPr fontId="17"/>
  </si>
  <si>
    <t>--</t>
    <phoneticPr fontId="17"/>
  </si>
  <si>
    <t>流量 m_c</t>
    <rPh sb="0" eb="2">
      <t>リュウリョウ</t>
    </rPh>
    <phoneticPr fontId="17"/>
  </si>
  <si>
    <t>回転数 N_c</t>
    <rPh sb="0" eb="3">
      <t>カイテンスウ</t>
    </rPh>
    <phoneticPr fontId="17"/>
  </si>
  <si>
    <t>流量 C_f,c</t>
    <rPh sb="0" eb="2">
      <t>リュウリョウ</t>
    </rPh>
    <phoneticPr fontId="17"/>
  </si>
  <si>
    <t>軸動力 C_W,c</t>
    <rPh sb="0" eb="3">
      <t>ジクドウリョク</t>
    </rPh>
    <phoneticPr fontId="17"/>
  </si>
  <si>
    <t>軸動力 W_c</t>
    <rPh sb="0" eb="3">
      <t>ジクドウリョク</t>
    </rPh>
    <phoneticPr fontId="17"/>
  </si>
  <si>
    <t>番号</t>
    <rPh sb="0" eb="2">
      <t>バンゴウ</t>
    </rPh>
    <phoneticPr fontId="17"/>
  </si>
  <si>
    <t>ポンプ効率η_c</t>
    <rPh sb="3" eb="5">
      <t>コウリツ</t>
    </rPh>
    <phoneticPr fontId="17"/>
  </si>
  <si>
    <t>ポンプ前後差圧 dP_c</t>
    <rPh sb="3" eb="7">
      <t>ゼンゴサアツ</t>
    </rPh>
    <phoneticPr fontId="17"/>
  </si>
  <si>
    <t>▶無次元の流量－ポンプ効率特性曲線</t>
    <rPh sb="1" eb="4">
      <t>ムジゲン</t>
    </rPh>
    <rPh sb="5" eb="7">
      <t>リュウリョウ</t>
    </rPh>
    <rPh sb="11" eb="13">
      <t>コウリツ</t>
    </rPh>
    <rPh sb="13" eb="15">
      <t>トクセイ</t>
    </rPh>
    <rPh sb="15" eb="17">
      <t>キョクセン</t>
    </rPh>
    <phoneticPr fontId="17"/>
  </si>
  <si>
    <t>▶流量-軸動力特性</t>
    <rPh sb="1" eb="3">
      <t>リュウリョウ</t>
    </rPh>
    <rPh sb="4" eb="7">
      <t>ジクドウリョク</t>
    </rPh>
    <rPh sb="7" eb="9">
      <t>トクセイ</t>
    </rPh>
    <phoneticPr fontId="17"/>
  </si>
  <si>
    <t>▶流量-ポンプ効率特性</t>
    <rPh sb="1" eb="3">
      <t>リュウリョウ</t>
    </rPh>
    <rPh sb="7" eb="9">
      <t>コウリツ</t>
    </rPh>
    <rPh sb="9" eb="11">
      <t>トクセイ</t>
    </rPh>
    <phoneticPr fontId="17"/>
  </si>
  <si>
    <t>◇軸動力W</t>
    <rPh sb="1" eb="4">
      <t>ジクドウリョク</t>
    </rPh>
    <phoneticPr fontId="17"/>
  </si>
  <si>
    <t>◇リスト</t>
    <phoneticPr fontId="17"/>
  </si>
  <si>
    <t>軸動力 W_c</t>
    <phoneticPr fontId="17"/>
  </si>
  <si>
    <t>軸動力 W</t>
    <rPh sb="0" eb="3">
      <t>ジクドウリョク</t>
    </rPh>
    <phoneticPr fontId="17"/>
  </si>
  <si>
    <t>消費電力 E</t>
    <rPh sb="0" eb="4">
      <t>ショウヒデンリョク</t>
    </rPh>
    <phoneticPr fontId="17"/>
  </si>
  <si>
    <t>η_M</t>
    <phoneticPr fontId="17"/>
  </si>
  <si>
    <t>電動機効率</t>
    <rPh sb="0" eb="5">
      <t>デンドウキコウリツ</t>
    </rPh>
    <phoneticPr fontId="17"/>
  </si>
  <si>
    <t>軸動力 W</t>
    <phoneticPr fontId="17"/>
  </si>
  <si>
    <t>η_I</t>
    <phoneticPr fontId="17"/>
  </si>
  <si>
    <t>インバーター効率</t>
    <rPh sb="6" eb="8">
      <t>コウリツ</t>
    </rPh>
    <phoneticPr fontId="17"/>
  </si>
  <si>
    <t>◇消費電力</t>
    <rPh sb="1" eb="5">
      <t>ショウヒデンリョク</t>
    </rPh>
    <phoneticPr fontId="17"/>
  </si>
  <si>
    <t>特性式の選択</t>
    <rPh sb="0" eb="3">
      <t>トクセイシキ</t>
    </rPh>
    <rPh sb="4" eb="6">
      <t>センタク</t>
    </rPh>
    <phoneticPr fontId="17"/>
  </si>
  <si>
    <t>軸動力の計算</t>
    <rPh sb="0" eb="3">
      <t>ジクドウリョク</t>
    </rPh>
    <rPh sb="4" eb="6">
      <t>ケイサン</t>
    </rPh>
    <phoneticPr fontId="17"/>
  </si>
  <si>
    <t>消費電力の計算</t>
    <rPh sb="0" eb="4">
      <t>ショウヒデンリョク</t>
    </rPh>
    <rPh sb="5" eb="7">
      <t>ケイサン</t>
    </rPh>
    <phoneticPr fontId="17"/>
  </si>
  <si>
    <t>◇流量の検討範囲内のデータ数の確認</t>
    <rPh sb="1" eb="3">
      <t>リュウリョウ</t>
    </rPh>
    <rPh sb="4" eb="9">
      <t>ケントウハンイナイ</t>
    </rPh>
    <rPh sb="13" eb="14">
      <t>スウ</t>
    </rPh>
    <rPh sb="15" eb="17">
      <t>カクニン</t>
    </rPh>
    <phoneticPr fontId="17"/>
  </si>
  <si>
    <t>dP</t>
    <phoneticPr fontId="17"/>
  </si>
  <si>
    <t>W</t>
    <phoneticPr fontId="17"/>
  </si>
  <si>
    <t>N</t>
    <phoneticPr fontId="17"/>
  </si>
  <si>
    <t>f(N)</t>
    <phoneticPr fontId="17"/>
  </si>
  <si>
    <t>（計算区間）</t>
    <rPh sb="1" eb="5">
      <t>ケイサンクカン</t>
    </rPh>
    <phoneticPr fontId="17"/>
  </si>
  <si>
    <t>f(N_min)</t>
    <phoneticPr fontId="17"/>
  </si>
  <si>
    <t>f(N_max)</t>
    <phoneticPr fontId="17"/>
  </si>
  <si>
    <t>最小</t>
    <rPh sb="0" eb="2">
      <t>サイショウ</t>
    </rPh>
    <phoneticPr fontId="17"/>
  </si>
  <si>
    <t>最大</t>
    <rPh sb="0" eb="2">
      <t>サイダイ</t>
    </rPh>
    <phoneticPr fontId="17"/>
  </si>
  <si>
    <t>https://support.microsoft.com/ja-jp/office/lambda-%E9%96%A2%E6%95%B0-bd212d27-1cd1-4321-a34a-ccbf254b8b67</t>
    <phoneticPr fontId="2"/>
  </si>
  <si>
    <t>▶物性値</t>
    <rPh sb="1" eb="4">
      <t>ブッセイチ</t>
    </rPh>
    <phoneticPr fontId="17"/>
  </si>
  <si>
    <t>▶要求条件</t>
    <rPh sb="1" eb="3">
      <t>ヨウキュウ</t>
    </rPh>
    <rPh sb="3" eb="5">
      <t>ジョウケン</t>
    </rPh>
    <phoneticPr fontId="17"/>
  </si>
  <si>
    <t>要求条件番号（シート名から自動計算）</t>
    <rPh sb="0" eb="2">
      <t>ヨウキュウ</t>
    </rPh>
    <rPh sb="2" eb="4">
      <t>ジョウケン</t>
    </rPh>
    <rPh sb="4" eb="6">
      <t>バンゴウ</t>
    </rPh>
    <rPh sb="10" eb="11">
      <t>メイ</t>
    </rPh>
    <rPh sb="13" eb="17">
      <t>ジドウケイサン</t>
    </rPh>
    <phoneticPr fontId="17"/>
  </si>
  <si>
    <t>要求条件番号（自動計算エラー時）</t>
    <rPh sb="0" eb="2">
      <t>ヨウキュウ</t>
    </rPh>
    <rPh sb="2" eb="4">
      <t>ジョウケン</t>
    </rPh>
    <rPh sb="4" eb="6">
      <t>バンゴウ</t>
    </rPh>
    <rPh sb="7" eb="11">
      <t>ジドウケイサン</t>
    </rPh>
    <rPh sb="14" eb="15">
      <t>ジ</t>
    </rPh>
    <phoneticPr fontId="17"/>
  </si>
  <si>
    <t>https://www.office.com/</t>
    <phoneticPr fontId="2"/>
  </si>
  <si>
    <t>立命館BKC冷温水2次ポンプパラメータ.xlsx</t>
    <rPh sb="0" eb="3">
      <t>リツメイカン</t>
    </rPh>
    <rPh sb="7" eb="8">
      <t>オン</t>
    </rPh>
    <phoneticPr fontId="2"/>
  </si>
  <si>
    <t>デジタイザ読み取りデータをコピペ？</t>
    <rPh sb="5" eb="6">
      <t>ヨ</t>
    </rPh>
    <rPh sb="7" eb="8">
      <t>ト</t>
    </rPh>
    <phoneticPr fontId="2"/>
  </si>
  <si>
    <t>■　選定ポンプ情報（ポンプ特性線図情報）</t>
    <rPh sb="2" eb="4">
      <t>センテイ</t>
    </rPh>
    <rPh sb="7" eb="9">
      <t>ジョウホウ</t>
    </rPh>
    <phoneticPr fontId="2"/>
  </si>
  <si>
    <t>■　2次ポンプシステム設計入力情報</t>
    <rPh sb="3" eb="4">
      <t>ジ</t>
    </rPh>
    <rPh sb="11" eb="13">
      <t>セッケイ</t>
    </rPh>
    <rPh sb="13" eb="15">
      <t>ニュウリョク</t>
    </rPh>
    <rPh sb="15" eb="17">
      <t>ジョウホウ</t>
    </rPh>
    <phoneticPr fontId="2"/>
  </si>
  <si>
    <t>エンジン情報</t>
    <rPh sb="4" eb="6">
      <t>ジョウホウ</t>
    </rPh>
    <phoneticPr fontId="2"/>
  </si>
  <si>
    <t>○</t>
    <phoneticPr fontId="2"/>
  </si>
  <si>
    <t>：設計者入力情報</t>
    <rPh sb="1" eb="4">
      <t>セッケイシャ</t>
    </rPh>
    <rPh sb="4" eb="6">
      <t>ニュウリョク</t>
    </rPh>
    <rPh sb="6" eb="8">
      <t>ジョウホウ</t>
    </rPh>
    <phoneticPr fontId="2"/>
  </si>
  <si>
    <t>：エンジンの計算結果（出力結果）</t>
    <rPh sb="6" eb="8">
      <t>ケイサン</t>
    </rPh>
    <rPh sb="8" eb="10">
      <t>ケッカ</t>
    </rPh>
    <rPh sb="11" eb="13">
      <t>シュツリョク</t>
    </rPh>
    <rPh sb="13" eb="15">
      <t>ケッカ</t>
    </rPh>
    <phoneticPr fontId="2"/>
  </si>
  <si>
    <t>ポンプ1台の定格流量×ポンプ台数</t>
    <phoneticPr fontId="2"/>
  </si>
  <si>
    <t>*　モータ効率、インバータ効率は、Webプロ内で規定している。</t>
    <rPh sb="5" eb="7">
      <t>コウリツ</t>
    </rPh>
    <rPh sb="13" eb="15">
      <t>コウリツ</t>
    </rPh>
    <rPh sb="22" eb="23">
      <t>ナイ</t>
    </rPh>
    <rPh sb="24" eb="26">
      <t>キテイ</t>
    </rPh>
    <phoneticPr fontId="2"/>
  </si>
  <si>
    <t>a(3次の係数)</t>
    <rPh sb="3" eb="4">
      <t>ジ</t>
    </rPh>
    <rPh sb="5" eb="7">
      <t>ケイスウ</t>
    </rPh>
    <phoneticPr fontId="2"/>
  </si>
  <si>
    <t>c(1次の係数)</t>
    <rPh sb="3" eb="4">
      <t>ジ</t>
    </rPh>
    <rPh sb="5" eb="7">
      <t>ケイスウ</t>
    </rPh>
    <phoneticPr fontId="2"/>
  </si>
  <si>
    <t>b(2次の係数)</t>
    <rPh sb="3" eb="4">
      <t>ジ</t>
    </rPh>
    <rPh sb="5" eb="7">
      <t>ケイスウ</t>
    </rPh>
    <phoneticPr fontId="2"/>
  </si>
  <si>
    <t>d(定数項)</t>
    <rPh sb="2" eb="4">
      <t>テイスウ</t>
    </rPh>
    <rPh sb="4" eb="5">
      <t>コウ</t>
    </rPh>
    <phoneticPr fontId="2"/>
  </si>
  <si>
    <t>■　3次式係数計算結果</t>
    <rPh sb="3" eb="5">
      <t>ジシキ</t>
    </rPh>
    <rPh sb="5" eb="7">
      <t>ケイスウ</t>
    </rPh>
    <rPh sb="7" eb="9">
      <t>ケイサン</t>
    </rPh>
    <rPh sb="9" eb="11">
      <t>ケッカ</t>
    </rPh>
    <phoneticPr fontId="2"/>
  </si>
  <si>
    <t>行番号</t>
    <rPh sb="0" eb="3">
      <t>ギョウバンゴウ</t>
    </rPh>
    <phoneticPr fontId="2"/>
  </si>
  <si>
    <t>セット番号</t>
    <rPh sb="3" eb="5">
      <t>バンゴウ</t>
    </rPh>
    <phoneticPr fontId="2"/>
  </si>
  <si>
    <t>1（データタイトル）</t>
    <phoneticPr fontId="2"/>
  </si>
  <si>
    <t>2（データ開始）</t>
    <rPh sb="5" eb="7">
      <t>カイシ</t>
    </rPh>
    <phoneticPr fontId="2"/>
  </si>
  <si>
    <t>L/h</t>
    <phoneticPr fontId="2"/>
  </si>
  <si>
    <t>L/min</t>
    <phoneticPr fontId="2"/>
  </si>
  <si>
    <t>L/s</t>
    <phoneticPr fontId="2"/>
  </si>
  <si>
    <t>Pa</t>
    <phoneticPr fontId="2"/>
  </si>
  <si>
    <t>kPa</t>
    <phoneticPr fontId="2"/>
  </si>
  <si>
    <t>m</t>
    <phoneticPr fontId="2"/>
  </si>
  <si>
    <r>
      <t>m</t>
    </r>
    <r>
      <rPr>
        <vertAlign val="superscript"/>
        <sz val="11"/>
        <color theme="1"/>
        <rFont val="游ゴシック"/>
        <family val="3"/>
        <charset val="128"/>
        <scheme val="minor"/>
      </rPr>
      <t>3</t>
    </r>
    <r>
      <rPr>
        <sz val="11"/>
        <color theme="1"/>
        <rFont val="游ゴシック"/>
        <family val="2"/>
        <charset val="128"/>
        <scheme val="minor"/>
      </rPr>
      <t>/h</t>
    </r>
    <phoneticPr fontId="2"/>
  </si>
  <si>
    <r>
      <t>m</t>
    </r>
    <r>
      <rPr>
        <vertAlign val="superscript"/>
        <sz val="11"/>
        <color theme="1"/>
        <rFont val="游ゴシック"/>
        <family val="3"/>
        <charset val="128"/>
        <scheme val="minor"/>
      </rPr>
      <t>3</t>
    </r>
    <r>
      <rPr>
        <sz val="11"/>
        <color theme="1"/>
        <rFont val="游ゴシック"/>
        <family val="2"/>
        <charset val="128"/>
        <scheme val="minor"/>
      </rPr>
      <t>/min</t>
    </r>
    <phoneticPr fontId="2"/>
  </si>
  <si>
    <r>
      <t>mmH</t>
    </r>
    <r>
      <rPr>
        <vertAlign val="subscript"/>
        <sz val="11"/>
        <color theme="1"/>
        <rFont val="游ゴシック"/>
        <family val="3"/>
        <charset val="128"/>
        <scheme val="minor"/>
      </rPr>
      <t>2</t>
    </r>
    <r>
      <rPr>
        <sz val="11"/>
        <color theme="1"/>
        <rFont val="游ゴシック"/>
        <family val="2"/>
        <charset val="128"/>
        <scheme val="minor"/>
      </rPr>
      <t>O</t>
    </r>
    <phoneticPr fontId="2"/>
  </si>
  <si>
    <t>-</t>
    <phoneticPr fontId="2"/>
  </si>
  <si>
    <t>%</t>
    <phoneticPr fontId="2"/>
  </si>
  <si>
    <t>kW</t>
    <phoneticPr fontId="2"/>
  </si>
  <si>
    <t>W</t>
    <phoneticPr fontId="2"/>
  </si>
  <si>
    <t>単位番号</t>
    <rPh sb="0" eb="4">
      <t>タンイバンゴウ</t>
    </rPh>
    <phoneticPr fontId="2"/>
  </si>
  <si>
    <t>（1/3）サンプリングデータの貼り付け</t>
    <rPh sb="15" eb="16">
      <t>ハ</t>
    </rPh>
    <rPh sb="17" eb="18">
      <t>ツ</t>
    </rPh>
    <phoneticPr fontId="2"/>
  </si>
  <si>
    <t>（2/3）セット番号の指定</t>
    <rPh sb="8" eb="10">
      <t>バンゴウ</t>
    </rPh>
    <rPh sb="11" eb="13">
      <t>シテイ</t>
    </rPh>
    <phoneticPr fontId="2"/>
  </si>
  <si>
    <t>（3/3）単位の指定</t>
    <rPh sb="5" eb="7">
      <t>タンイ</t>
    </rPh>
    <rPh sb="8" eb="10">
      <t>シテイ</t>
    </rPh>
    <phoneticPr fontId="2"/>
  </si>
  <si>
    <t>（流量 , 揚程(差圧)）のセット番号</t>
    <rPh sb="17" eb="19">
      <t>バンゴウ</t>
    </rPh>
    <phoneticPr fontId="2"/>
  </si>
  <si>
    <t>（流量 , 効率）のセット番号</t>
    <rPh sb="13" eb="15">
      <t>バンゴウ</t>
    </rPh>
    <phoneticPr fontId="2"/>
  </si>
  <si>
    <t>（流量 , 軸動力）のセット番号</t>
    <rPh sb="6" eb="9">
      <t>ジクドウリョク</t>
    </rPh>
    <rPh sb="14" eb="16">
      <t>バンゴウ</t>
    </rPh>
    <phoneticPr fontId="2"/>
  </si>
  <si>
    <t>ポンプ設計</t>
    <rPh sb="3" eb="5">
      <t>セッケイ</t>
    </rPh>
    <phoneticPr fontId="2"/>
  </si>
  <si>
    <t>定格揚程(運転点の揚程=ポンプ前後差圧）</t>
    <rPh sb="0" eb="2">
      <t>テイカク</t>
    </rPh>
    <rPh sb="2" eb="4">
      <t>ヨウテイ</t>
    </rPh>
    <rPh sb="5" eb="7">
      <t>ウンテン</t>
    </rPh>
    <rPh sb="7" eb="8">
      <t>テン</t>
    </rPh>
    <rPh sb="9" eb="11">
      <t>ヨウテイ</t>
    </rPh>
    <rPh sb="15" eb="19">
      <t>ゼンゴサアツ</t>
    </rPh>
    <phoneticPr fontId="2"/>
  </si>
  <si>
    <t>1/s</t>
    <phoneticPr fontId="2"/>
  </si>
  <si>
    <t>1/min</t>
    <phoneticPr fontId="2"/>
  </si>
  <si>
    <t>1/h</t>
    <phoneticPr fontId="2"/>
  </si>
  <si>
    <t>Hz</t>
    <phoneticPr fontId="2"/>
  </si>
  <si>
    <t>（1/2）単位の指定</t>
    <rPh sb="5" eb="7">
      <t>タンイ</t>
    </rPh>
    <rPh sb="8" eb="10">
      <t>シテイ</t>
    </rPh>
    <phoneticPr fontId="2"/>
  </si>
  <si>
    <t>（2/2）定格値の入力</t>
    <rPh sb="5" eb="7">
      <t>テイカク</t>
    </rPh>
    <rPh sb="7" eb="8">
      <t>チ</t>
    </rPh>
    <rPh sb="9" eb="11">
      <t>ニュウリョク</t>
    </rPh>
    <phoneticPr fontId="2"/>
  </si>
  <si>
    <t>％</t>
    <phoneticPr fontId="2"/>
  </si>
  <si>
    <r>
      <t>設計負荷温度差　ΔT</t>
    </r>
    <r>
      <rPr>
        <vertAlign val="subscript"/>
        <sz val="11"/>
        <color theme="1"/>
        <rFont val="游ゴシック"/>
        <family val="3"/>
        <charset val="128"/>
        <scheme val="minor"/>
      </rPr>
      <t>R</t>
    </r>
    <rPh sb="0" eb="4">
      <t>セッケイフカ</t>
    </rPh>
    <rPh sb="4" eb="7">
      <t>オンドサ</t>
    </rPh>
    <phoneticPr fontId="2"/>
  </si>
  <si>
    <t>台</t>
    <rPh sb="0" eb="1">
      <t>ダイ</t>
    </rPh>
    <phoneticPr fontId="2"/>
  </si>
  <si>
    <t>kPa</t>
    <phoneticPr fontId="2"/>
  </si>
  <si>
    <t>※設計最大流量時に必要な二次ポンプシステム往還差圧</t>
    <phoneticPr fontId="2"/>
  </si>
  <si>
    <r>
      <t>設計最大流量時の往還差圧設定値　dP</t>
    </r>
    <r>
      <rPr>
        <vertAlign val="subscript"/>
        <sz val="11"/>
        <color theme="1"/>
        <rFont val="游ゴシック"/>
        <family val="3"/>
        <charset val="128"/>
        <scheme val="minor"/>
      </rPr>
      <t>total,sp,max</t>
    </r>
    <rPh sb="0" eb="7">
      <t>セッケイサイダイリュウリョウジ</t>
    </rPh>
    <rPh sb="8" eb="10">
      <t>オウカン</t>
    </rPh>
    <rPh sb="10" eb="15">
      <t>サアツセッテイチ</t>
    </rPh>
    <phoneticPr fontId="2"/>
  </si>
  <si>
    <t>%</t>
    <phoneticPr fontId="2"/>
  </si>
  <si>
    <t>※負荷流量0の時に必要な二次ポンプシステム</t>
    <phoneticPr fontId="2"/>
  </si>
  <si>
    <r>
      <t>末端差圧設定 (流量0時の往還差圧設定) 　dP</t>
    </r>
    <r>
      <rPr>
        <vertAlign val="subscript"/>
        <sz val="11"/>
        <color theme="1"/>
        <rFont val="游ゴシック"/>
        <family val="3"/>
        <charset val="128"/>
        <scheme val="minor"/>
      </rPr>
      <t>total,sp,min</t>
    </r>
    <phoneticPr fontId="2"/>
  </si>
  <si>
    <t>（1/2）設計値の入力</t>
    <rPh sb="5" eb="8">
      <t>セッケイチ</t>
    </rPh>
    <rPh sb="9" eb="11">
      <t>ニュウリョク</t>
    </rPh>
    <phoneticPr fontId="2"/>
  </si>
  <si>
    <t>（2/2）運用範囲の指定</t>
    <rPh sb="5" eb="9">
      <t>ウンヨウハンイ</t>
    </rPh>
    <rPh sb="10" eb="12">
      <t>シテイ</t>
    </rPh>
    <phoneticPr fontId="2"/>
  </si>
  <si>
    <t>ポンプ特性（特性曲線をサンプリングデータとして読み込む）</t>
    <rPh sb="3" eb="5">
      <t>トクセイ</t>
    </rPh>
    <rPh sb="6" eb="10">
      <t>トクセイキョクセン</t>
    </rPh>
    <rPh sb="23" eb="24">
      <t>ヨ</t>
    </rPh>
    <rPh sb="25" eb="26">
      <t>コ</t>
    </rPh>
    <phoneticPr fontId="2"/>
  </si>
  <si>
    <t>出力</t>
    <rPh sb="0" eb="2">
      <t>シュツリョク</t>
    </rPh>
    <phoneticPr fontId="2"/>
  </si>
  <si>
    <t>WebPro入力用3次式係数</t>
    <rPh sb="6" eb="9">
      <t>ニュウリョクヨウ</t>
    </rPh>
    <rPh sb="10" eb="12">
      <t>ジシキ</t>
    </rPh>
    <rPh sb="12" eb="14">
      <t>ケイスウ</t>
    </rPh>
    <phoneticPr fontId="2"/>
  </si>
  <si>
    <t>WebPro入力用3次式係数</t>
    <rPh sb="6" eb="9">
      <t>ニュウリョクヨウ</t>
    </rPh>
    <rPh sb="10" eb="14">
      <t>ジシキケイスウ</t>
    </rPh>
    <phoneticPr fontId="2"/>
  </si>
  <si>
    <t>a1</t>
    <phoneticPr fontId="2"/>
  </si>
  <si>
    <t>a3</t>
  </si>
  <si>
    <t>a5</t>
  </si>
  <si>
    <t>b1</t>
    <phoneticPr fontId="2"/>
  </si>
  <si>
    <t>b3</t>
  </si>
  <si>
    <t>b4</t>
  </si>
  <si>
    <t>c1</t>
    <phoneticPr fontId="2"/>
  </si>
  <si>
    <t>c2</t>
    <phoneticPr fontId="2"/>
  </si>
  <si>
    <t>d1</t>
    <phoneticPr fontId="2"/>
  </si>
  <si>
    <t>d3</t>
  </si>
  <si>
    <r>
      <t>m</t>
    </r>
    <r>
      <rPr>
        <vertAlign val="superscript"/>
        <sz val="11"/>
        <color theme="1"/>
        <rFont val="游ゴシック"/>
        <family val="3"/>
        <charset val="128"/>
        <scheme val="minor"/>
      </rPr>
      <t>3</t>
    </r>
    <r>
      <rPr>
        <sz val="11"/>
        <color theme="1"/>
        <rFont val="游ゴシック"/>
        <family val="3"/>
        <charset val="128"/>
        <scheme val="minor"/>
      </rPr>
      <t>/h</t>
    </r>
    <phoneticPr fontId="2"/>
  </si>
  <si>
    <r>
      <t>設計最大負荷熱量　Q</t>
    </r>
    <r>
      <rPr>
        <vertAlign val="subscript"/>
        <sz val="11"/>
        <color theme="1"/>
        <rFont val="游ゴシック"/>
        <family val="3"/>
        <charset val="128"/>
        <scheme val="minor"/>
      </rPr>
      <t>R</t>
    </r>
    <phoneticPr fontId="2"/>
  </si>
  <si>
    <r>
      <t>設計最大流量　M</t>
    </r>
    <r>
      <rPr>
        <vertAlign val="subscript"/>
        <sz val="11"/>
        <color theme="1"/>
        <rFont val="游ゴシック"/>
        <family val="3"/>
        <charset val="128"/>
        <scheme val="minor"/>
      </rPr>
      <t>R</t>
    </r>
    <phoneticPr fontId="2"/>
  </si>
  <si>
    <r>
      <t>M</t>
    </r>
    <r>
      <rPr>
        <vertAlign val="subscript"/>
        <sz val="11"/>
        <color theme="1"/>
        <rFont val="游ゴシック"/>
        <family val="3"/>
        <charset val="128"/>
        <scheme val="minor"/>
      </rPr>
      <t>pv</t>
    </r>
    <phoneticPr fontId="2"/>
  </si>
  <si>
    <r>
      <t>dP</t>
    </r>
    <r>
      <rPr>
        <vertAlign val="subscript"/>
        <sz val="11"/>
        <color theme="1"/>
        <rFont val="游ゴシック"/>
        <family val="3"/>
        <charset val="128"/>
        <scheme val="minor"/>
      </rPr>
      <t>toral,sp</t>
    </r>
    <phoneticPr fontId="2"/>
  </si>
  <si>
    <t>（3/3）二次側流量率とポンプ軸動力比の関係式導出</t>
    <rPh sb="5" eb="8">
      <t>ニジガワ</t>
    </rPh>
    <rPh sb="8" eb="10">
      <t>リュウリョウ</t>
    </rPh>
    <rPh sb="10" eb="11">
      <t>リツ</t>
    </rPh>
    <rPh sb="15" eb="18">
      <t>ジクドウリョク</t>
    </rPh>
    <rPh sb="18" eb="19">
      <t>ヒ</t>
    </rPh>
    <rPh sb="20" eb="23">
      <t>カンケイシキ</t>
    </rPh>
    <rPh sb="23" eb="25">
      <t>ドウシュツ</t>
    </rPh>
    <phoneticPr fontId="2"/>
  </si>
  <si>
    <t>（2/3）2次側流量と必要往還差圧の関係式（1次式で設定）の導出</t>
    <rPh sb="6" eb="8">
      <t>ジガワ</t>
    </rPh>
    <rPh sb="8" eb="10">
      <t>リュウリョウ</t>
    </rPh>
    <rPh sb="11" eb="13">
      <t>ヒツヨウ</t>
    </rPh>
    <rPh sb="13" eb="17">
      <t>オウカンサアツ</t>
    </rPh>
    <rPh sb="18" eb="21">
      <t>カンケイシキ</t>
    </rPh>
    <rPh sb="23" eb="25">
      <t>ジシキ</t>
    </rPh>
    <rPh sb="26" eb="28">
      <t>セッテイ</t>
    </rPh>
    <rPh sb="30" eb="32">
      <t>ドウシュツ</t>
    </rPh>
    <phoneticPr fontId="2"/>
  </si>
  <si>
    <t>n</t>
  </si>
  <si>
    <t>N</t>
  </si>
  <si>
    <t>HZpv</t>
  </si>
  <si>
    <t>区分</t>
    <rPh sb="0" eb="2">
      <t>クブン</t>
    </rPh>
    <phoneticPr fontId="2"/>
  </si>
  <si>
    <t>流量</t>
    <rPh sb="0" eb="2">
      <t>リュウリョウ</t>
    </rPh>
    <phoneticPr fontId="2"/>
  </si>
  <si>
    <t>二次側</t>
    <rPh sb="0" eb="3">
      <t>ニジガワ</t>
    </rPh>
    <phoneticPr fontId="2"/>
  </si>
  <si>
    <t>流量率</t>
    <rPh sb="0" eb="3">
      <t>リュウリョウリツ</t>
    </rPh>
    <phoneticPr fontId="2"/>
  </si>
  <si>
    <t>二次側</t>
    <rPh sb="0" eb="3">
      <t>ニジガワ</t>
    </rPh>
    <phoneticPr fontId="2"/>
  </si>
  <si>
    <r>
      <t>M</t>
    </r>
    <r>
      <rPr>
        <vertAlign val="subscript"/>
        <sz val="11"/>
        <color theme="1"/>
        <rFont val="游ゴシック"/>
        <family val="3"/>
        <charset val="128"/>
        <scheme val="minor"/>
      </rPr>
      <t>pv</t>
    </r>
    <phoneticPr fontId="2"/>
  </si>
  <si>
    <t>台数</t>
  </si>
  <si>
    <t>運転</t>
    <rPh sb="0" eb="2">
      <t>ウンテン</t>
    </rPh>
    <phoneticPr fontId="2"/>
  </si>
  <si>
    <t>ポンプ</t>
    <phoneticPr fontId="2"/>
  </si>
  <si>
    <r>
      <t>(m</t>
    </r>
    <r>
      <rPr>
        <vertAlign val="superscript"/>
        <sz val="11"/>
        <color theme="1"/>
        <rFont val="游ゴシック"/>
        <family val="3"/>
        <charset val="128"/>
        <scheme val="minor"/>
      </rPr>
      <t>3</t>
    </r>
    <r>
      <rPr>
        <sz val="11"/>
        <color theme="1"/>
        <rFont val="游ゴシック"/>
        <family val="3"/>
        <charset val="128"/>
        <scheme val="minor"/>
      </rPr>
      <t>/h)/台</t>
    </r>
    <rPh sb="7" eb="8">
      <t>ダイ</t>
    </rPh>
    <phoneticPr fontId="2"/>
  </si>
  <si>
    <t>設定</t>
    <phoneticPr fontId="2"/>
  </si>
  <si>
    <t>差圧</t>
  </si>
  <si>
    <t>往還</t>
    <rPh sb="0" eb="2">
      <t>オウカン</t>
    </rPh>
    <phoneticPr fontId="2"/>
  </si>
  <si>
    <r>
      <t xml:space="preserve"> dP</t>
    </r>
    <r>
      <rPr>
        <vertAlign val="subscript"/>
        <sz val="11"/>
        <color theme="1"/>
        <rFont val="游ゴシック"/>
        <family val="3"/>
        <charset val="128"/>
        <scheme val="minor"/>
      </rPr>
      <t>total,sp</t>
    </r>
    <phoneticPr fontId="2"/>
  </si>
  <si>
    <t>の流量</t>
    <rPh sb="1" eb="3">
      <t>リュウリョウ</t>
    </rPh>
    <phoneticPr fontId="2"/>
  </si>
  <si>
    <t>1台当たり</t>
    <rPh sb="1" eb="2">
      <t>ダイ</t>
    </rPh>
    <rPh sb="2" eb="3">
      <t>ア</t>
    </rPh>
    <phoneticPr fontId="2"/>
  </si>
  <si>
    <t>運転ポンプ</t>
    <rPh sb="0" eb="2">
      <t>ウンテン</t>
    </rPh>
    <phoneticPr fontId="2"/>
  </si>
  <si>
    <r>
      <t xml:space="preserve"> SP</t>
    </r>
    <r>
      <rPr>
        <vertAlign val="subscript"/>
        <sz val="11"/>
        <color theme="1"/>
        <rFont val="游ゴシック"/>
        <family val="3"/>
        <charset val="128"/>
        <scheme val="minor"/>
      </rPr>
      <t>i,per1</t>
    </r>
    <phoneticPr fontId="2"/>
  </si>
  <si>
    <t>の軸動力</t>
    <rPh sb="1" eb="4">
      <t>ジクドウリョク</t>
    </rPh>
    <phoneticPr fontId="2"/>
  </si>
  <si>
    <t>速度</t>
    <rPh sb="0" eb="2">
      <t>ソクド</t>
    </rPh>
    <phoneticPr fontId="2"/>
  </si>
  <si>
    <t>回転</t>
    <rPh sb="0" eb="2">
      <t>カイテン</t>
    </rPh>
    <phoneticPr fontId="2"/>
  </si>
  <si>
    <t>比</t>
    <rPh sb="0" eb="1">
      <t>ヒ</t>
    </rPh>
    <phoneticPr fontId="2"/>
  </si>
  <si>
    <t>周波数</t>
    <rPh sb="0" eb="3">
      <t>シュウハスウ</t>
    </rPh>
    <phoneticPr fontId="2"/>
  </si>
  <si>
    <t>INV</t>
    <phoneticPr fontId="2"/>
  </si>
  <si>
    <t>合計</t>
    <rPh sb="0" eb="2">
      <t>ゴウケイ</t>
    </rPh>
    <phoneticPr fontId="2"/>
  </si>
  <si>
    <t>軸動力</t>
    <rPh sb="0" eb="3">
      <t>ジクドウリョク</t>
    </rPh>
    <phoneticPr fontId="2"/>
  </si>
  <si>
    <t>合計</t>
    <rPh sb="0" eb="2">
      <t>ゴウケイ</t>
    </rPh>
    <phoneticPr fontId="2"/>
  </si>
  <si>
    <r>
      <t>SP</t>
    </r>
    <r>
      <rPr>
        <vertAlign val="subscript"/>
        <sz val="11"/>
        <color theme="1"/>
        <rFont val="游ゴシック"/>
        <family val="3"/>
        <charset val="128"/>
        <scheme val="minor"/>
      </rPr>
      <t>i,all</t>
    </r>
    <phoneticPr fontId="2"/>
  </si>
  <si>
    <r>
      <t>R</t>
    </r>
    <r>
      <rPr>
        <vertAlign val="subscript"/>
        <sz val="11"/>
        <color theme="1"/>
        <rFont val="游ゴシック"/>
        <family val="3"/>
        <charset val="128"/>
        <scheme val="minor"/>
      </rPr>
      <t>SPi,all</t>
    </r>
    <phoneticPr fontId="2"/>
  </si>
  <si>
    <r>
      <t>・2次側流量と必要往還差圧の1次式：　dP</t>
    </r>
    <r>
      <rPr>
        <vertAlign val="subscript"/>
        <sz val="11"/>
        <color theme="1"/>
        <rFont val="游ゴシック"/>
        <family val="3"/>
        <charset val="128"/>
        <scheme val="minor"/>
      </rPr>
      <t>total,sp</t>
    </r>
    <r>
      <rPr>
        <sz val="11"/>
        <color theme="1"/>
        <rFont val="游ゴシック"/>
        <family val="3"/>
        <charset val="128"/>
        <scheme val="minor"/>
      </rPr>
      <t xml:space="preserve"> = a*M</t>
    </r>
    <r>
      <rPr>
        <vertAlign val="subscript"/>
        <sz val="11"/>
        <color theme="1"/>
        <rFont val="游ゴシック"/>
        <family val="3"/>
        <charset val="128"/>
        <scheme val="minor"/>
      </rPr>
      <t>pv</t>
    </r>
    <r>
      <rPr>
        <sz val="11"/>
        <color theme="1"/>
        <rFont val="游ゴシック"/>
        <family val="3"/>
        <charset val="128"/>
        <scheme val="minor"/>
      </rPr>
      <t xml:space="preserve"> + b　(a,bは係数）</t>
    </r>
    <rPh sb="2" eb="4">
      <t>ジガワ</t>
    </rPh>
    <rPh sb="4" eb="6">
      <t>リュウリョウ</t>
    </rPh>
    <rPh sb="7" eb="9">
      <t>ヒツヨウ</t>
    </rPh>
    <rPh sb="9" eb="13">
      <t>オウカンサアツ</t>
    </rPh>
    <rPh sb="15" eb="17">
      <t>ジシキ</t>
    </rPh>
    <rPh sb="47" eb="49">
      <t>ケイスウ</t>
    </rPh>
    <phoneticPr fontId="2"/>
  </si>
  <si>
    <r>
      <t>a=SLOPE(0:M</t>
    </r>
    <r>
      <rPr>
        <vertAlign val="subscript"/>
        <sz val="11"/>
        <color theme="1"/>
        <rFont val="游ゴシック"/>
        <family val="3"/>
        <charset val="128"/>
        <scheme val="minor"/>
      </rPr>
      <t>R</t>
    </r>
    <r>
      <rPr>
        <sz val="11"/>
        <color theme="1"/>
        <rFont val="游ゴシック"/>
        <family val="3"/>
        <charset val="128"/>
        <scheme val="minor"/>
      </rPr>
      <t>,dP</t>
    </r>
    <r>
      <rPr>
        <vertAlign val="subscript"/>
        <sz val="11"/>
        <color theme="1"/>
        <rFont val="游ゴシック"/>
        <family val="3"/>
        <charset val="128"/>
        <scheme val="minor"/>
      </rPr>
      <t>total,sp,min</t>
    </r>
    <r>
      <rPr>
        <sz val="11"/>
        <color theme="1"/>
        <rFont val="游ゴシック"/>
        <family val="3"/>
        <charset val="128"/>
        <scheme val="minor"/>
      </rPr>
      <t>:dP</t>
    </r>
    <r>
      <rPr>
        <vertAlign val="subscript"/>
        <sz val="11"/>
        <color theme="1"/>
        <rFont val="游ゴシック"/>
        <family val="3"/>
        <charset val="128"/>
        <scheme val="minor"/>
      </rPr>
      <t>total,sp,max</t>
    </r>
    <r>
      <rPr>
        <sz val="11"/>
        <color theme="1"/>
        <rFont val="游ゴシック"/>
        <family val="3"/>
        <charset val="128"/>
        <scheme val="minor"/>
      </rPr>
      <t>)</t>
    </r>
    <phoneticPr fontId="2"/>
  </si>
  <si>
    <r>
      <t>b=INTERCEPT(0:M</t>
    </r>
    <r>
      <rPr>
        <vertAlign val="subscript"/>
        <sz val="11"/>
        <color theme="1"/>
        <rFont val="游ゴシック"/>
        <family val="3"/>
        <charset val="128"/>
        <scheme val="minor"/>
      </rPr>
      <t>R</t>
    </r>
    <r>
      <rPr>
        <sz val="11"/>
        <color theme="1"/>
        <rFont val="游ゴシック"/>
        <family val="2"/>
        <charset val="128"/>
        <scheme val="minor"/>
      </rPr>
      <t>,dP</t>
    </r>
    <r>
      <rPr>
        <vertAlign val="subscript"/>
        <sz val="11"/>
        <color theme="1"/>
        <rFont val="游ゴシック"/>
        <family val="3"/>
        <charset val="128"/>
        <scheme val="minor"/>
      </rPr>
      <t>total,sp,min</t>
    </r>
    <r>
      <rPr>
        <sz val="11"/>
        <color theme="1"/>
        <rFont val="游ゴシック"/>
        <family val="2"/>
        <charset val="128"/>
        <scheme val="minor"/>
      </rPr>
      <t>:dP</t>
    </r>
    <r>
      <rPr>
        <vertAlign val="subscript"/>
        <sz val="11"/>
        <color theme="1"/>
        <rFont val="游ゴシック"/>
        <family val="3"/>
        <charset val="128"/>
        <scheme val="minor"/>
      </rPr>
      <t>total,sp,max</t>
    </r>
    <r>
      <rPr>
        <sz val="11"/>
        <color theme="1"/>
        <rFont val="游ゴシック"/>
        <family val="2"/>
        <charset val="128"/>
        <scheme val="minor"/>
      </rPr>
      <t>)</t>
    </r>
    <phoneticPr fontId="2"/>
  </si>
  <si>
    <r>
      <t>R</t>
    </r>
    <r>
      <rPr>
        <vertAlign val="subscript"/>
        <sz val="11"/>
        <color theme="1"/>
        <rFont val="游ゴシック"/>
        <family val="3"/>
        <charset val="128"/>
        <scheme val="minor"/>
      </rPr>
      <t>M,pv</t>
    </r>
    <phoneticPr fontId="2"/>
  </si>
  <si>
    <r>
      <t>　R</t>
    </r>
    <r>
      <rPr>
        <vertAlign val="subscript"/>
        <sz val="11"/>
        <color theme="1"/>
        <rFont val="游ゴシック"/>
        <family val="3"/>
        <charset val="128"/>
        <scheme val="minor"/>
      </rPr>
      <t>SPi,all</t>
    </r>
    <r>
      <rPr>
        <sz val="11"/>
        <color theme="1"/>
        <rFont val="游ゴシック"/>
        <family val="3"/>
        <charset val="128"/>
        <scheme val="minor"/>
      </rPr>
      <t xml:space="preserve"> = a*R</t>
    </r>
    <r>
      <rPr>
        <vertAlign val="subscript"/>
        <sz val="11"/>
        <color theme="1"/>
        <rFont val="游ゴシック"/>
        <family val="3"/>
        <charset val="128"/>
        <scheme val="minor"/>
      </rPr>
      <t>M,pv</t>
    </r>
    <r>
      <rPr>
        <vertAlign val="superscript"/>
        <sz val="11"/>
        <color theme="1"/>
        <rFont val="游ゴシック"/>
        <family val="3"/>
        <charset val="128"/>
        <scheme val="minor"/>
      </rPr>
      <t>3</t>
    </r>
    <r>
      <rPr>
        <sz val="11"/>
        <color theme="1"/>
        <rFont val="游ゴシック"/>
        <family val="3"/>
        <charset val="128"/>
        <scheme val="minor"/>
      </rPr>
      <t>+b*R</t>
    </r>
    <r>
      <rPr>
        <vertAlign val="subscript"/>
        <sz val="11"/>
        <color theme="1"/>
        <rFont val="游ゴシック"/>
        <family val="3"/>
        <charset val="128"/>
        <scheme val="minor"/>
      </rPr>
      <t>M,pv</t>
    </r>
    <r>
      <rPr>
        <vertAlign val="superscript"/>
        <sz val="11"/>
        <color theme="1"/>
        <rFont val="游ゴシック"/>
        <family val="3"/>
        <charset val="128"/>
        <scheme val="minor"/>
      </rPr>
      <t>2</t>
    </r>
    <r>
      <rPr>
        <sz val="11"/>
        <color theme="1"/>
        <rFont val="游ゴシック"/>
        <family val="3"/>
        <charset val="128"/>
        <scheme val="minor"/>
      </rPr>
      <t>+c*R</t>
    </r>
    <r>
      <rPr>
        <vertAlign val="subscript"/>
        <sz val="11"/>
        <color theme="1"/>
        <rFont val="游ゴシック"/>
        <family val="3"/>
        <charset val="128"/>
        <scheme val="minor"/>
      </rPr>
      <t>M,pv</t>
    </r>
    <r>
      <rPr>
        <sz val="11"/>
        <color theme="1"/>
        <rFont val="游ゴシック"/>
        <family val="3"/>
        <charset val="128"/>
        <scheme val="minor"/>
      </rPr>
      <t>+d (a,b,c,d は係数）</t>
    </r>
    <rPh sb="50" eb="52">
      <t>ケイスウ</t>
    </rPh>
    <phoneticPr fontId="2"/>
  </si>
  <si>
    <t>kW/台</t>
    <rPh sb="3" eb="4">
      <t>ダイ</t>
    </rPh>
    <phoneticPr fontId="2"/>
  </si>
  <si>
    <t>（1）計算結果の確認</t>
    <rPh sb="3" eb="7">
      <t>ケイサンケッカ</t>
    </rPh>
    <rPh sb="8" eb="10">
      <t>カクニン</t>
    </rPh>
    <phoneticPr fontId="2"/>
  </si>
  <si>
    <t>（1/3）設計値の算出</t>
    <rPh sb="5" eb="8">
      <t>セッケイチ</t>
    </rPh>
    <rPh sb="9" eb="11">
      <t>サンシュツ</t>
    </rPh>
    <phoneticPr fontId="2"/>
  </si>
  <si>
    <t>色のセルを入力する</t>
    <rPh sb="0" eb="1">
      <t>イロ</t>
    </rPh>
    <rPh sb="5" eb="7">
      <t>ニュウリョク</t>
    </rPh>
    <phoneticPr fontId="2"/>
  </si>
  <si>
    <t>1）</t>
    <phoneticPr fontId="2"/>
  </si>
  <si>
    <t>2）</t>
    <phoneticPr fontId="2"/>
  </si>
  <si>
    <t>入力値および計算過程に間違いがないか確認する。</t>
    <rPh sb="0" eb="3">
      <t>ニュウリョクチ</t>
    </rPh>
    <rPh sb="6" eb="10">
      <t>ケイサンカテイ</t>
    </rPh>
    <rPh sb="11" eb="13">
      <t>マチガ</t>
    </rPh>
    <rPh sb="18" eb="20">
      <t>カクニン</t>
    </rPh>
    <phoneticPr fontId="2"/>
  </si>
  <si>
    <t>3）</t>
    <phoneticPr fontId="2"/>
  </si>
  <si>
    <t>3次式係数を取得する</t>
    <rPh sb="1" eb="5">
      <t>ジシキケイスウ</t>
    </rPh>
    <rPh sb="6" eb="8">
      <t>シュトク</t>
    </rPh>
    <phoneticPr fontId="2"/>
  </si>
  <si>
    <t>出力値</t>
    <rPh sb="0" eb="2">
      <t>シュツリョク</t>
    </rPh>
    <rPh sb="2" eb="3">
      <t>チ</t>
    </rPh>
    <phoneticPr fontId="2"/>
  </si>
  <si>
    <t>出力値の計算過程</t>
    <rPh sb="0" eb="3">
      <t>シュツリョクチ</t>
    </rPh>
    <rPh sb="4" eb="8">
      <t>ケイサンカテイ</t>
    </rPh>
    <phoneticPr fontId="2"/>
  </si>
  <si>
    <t>（2/2）回帰曲線の形状の確認</t>
    <rPh sb="5" eb="9">
      <t>カイキキョクセン</t>
    </rPh>
    <rPh sb="10" eb="12">
      <t>ケイジョウ</t>
    </rPh>
    <rPh sb="13" eb="15">
      <t>カクニン</t>
    </rPh>
    <phoneticPr fontId="2"/>
  </si>
  <si>
    <t>流量ー圧力特性</t>
    <rPh sb="0" eb="2">
      <t>リュウリョウ</t>
    </rPh>
    <rPh sb="3" eb="7">
      <t>アツリョクトクセイ</t>
    </rPh>
    <phoneticPr fontId="2"/>
  </si>
  <si>
    <t>流量ー効率特性</t>
    <rPh sb="0" eb="2">
      <t>リュウリョウ</t>
    </rPh>
    <rPh sb="3" eb="5">
      <t>コウリツ</t>
    </rPh>
    <rPh sb="5" eb="7">
      <t>トクセイ</t>
    </rPh>
    <phoneticPr fontId="2"/>
  </si>
  <si>
    <t>流量ー軸動力特性</t>
    <rPh sb="0" eb="2">
      <t>リュウリョウ</t>
    </rPh>
    <rPh sb="3" eb="8">
      <t>ジクドウリョクトクセイ</t>
    </rPh>
    <phoneticPr fontId="2"/>
  </si>
  <si>
    <t>（1/2）回帰分析のための必要条件を満たしているかの確認</t>
    <rPh sb="5" eb="9">
      <t>カイキブンセキ</t>
    </rPh>
    <rPh sb="13" eb="15">
      <t>ヒツヨウ</t>
    </rPh>
    <rPh sb="15" eb="17">
      <t>ジョウケン</t>
    </rPh>
    <rPh sb="18" eb="19">
      <t>ミ</t>
    </rPh>
    <rPh sb="26" eb="28">
      <t>カクニン</t>
    </rPh>
    <phoneticPr fontId="2"/>
  </si>
  <si>
    <t>ポンプ仕様（製品仕様書の数値を入力する）</t>
    <rPh sb="3" eb="5">
      <t>シヨウ</t>
    </rPh>
    <rPh sb="6" eb="8">
      <t>セイヒン</t>
    </rPh>
    <rPh sb="8" eb="10">
      <t>シヨウ</t>
    </rPh>
    <rPh sb="10" eb="11">
      <t>ショ</t>
    </rPh>
    <rPh sb="12" eb="14">
      <t>スウチ</t>
    </rPh>
    <rPh sb="15" eb="17">
      <t>ニュウリョク</t>
    </rPh>
    <phoneticPr fontId="2"/>
  </si>
  <si>
    <t>建物および2次冷温水配管システムの名称</t>
    <rPh sb="0" eb="2">
      <t>タテモノ</t>
    </rPh>
    <rPh sb="6" eb="10">
      <t>ジレイオンスイ</t>
    </rPh>
    <rPh sb="10" eb="12">
      <t>ハイカン</t>
    </rPh>
    <rPh sb="17" eb="19">
      <t>メイショウ</t>
    </rPh>
    <phoneticPr fontId="2"/>
  </si>
  <si>
    <t>（1/2）建物情報</t>
    <rPh sb="5" eb="9">
      <t>タテモノジョウホウ</t>
    </rPh>
    <phoneticPr fontId="2"/>
  </si>
  <si>
    <t>建物名称</t>
    <rPh sb="0" eb="4">
      <t>タテモノメイショウ</t>
    </rPh>
    <phoneticPr fontId="2"/>
  </si>
  <si>
    <t>所在地</t>
    <rPh sb="0" eb="3">
      <t>ショザイチ</t>
    </rPh>
    <phoneticPr fontId="2"/>
  </si>
  <si>
    <t>〇×△ビル</t>
    <phoneticPr fontId="2"/>
  </si>
  <si>
    <t>〇×市〇×町A-B-C</t>
    <rPh sb="2" eb="3">
      <t>シ</t>
    </rPh>
    <rPh sb="5" eb="6">
      <t>チョウ</t>
    </rPh>
    <phoneticPr fontId="2"/>
  </si>
  <si>
    <t>システム〇×△</t>
    <phoneticPr fontId="2"/>
  </si>
  <si>
    <t>建物名称</t>
    <phoneticPr fontId="2"/>
  </si>
  <si>
    <t>所在地</t>
    <phoneticPr fontId="2"/>
  </si>
  <si>
    <t>「非住宅建築物に関する省エネルギー基準に準拠したプログラム」入力用3次式係数</t>
    <rPh sb="30" eb="33">
      <t>ニュウリョクヨウ</t>
    </rPh>
    <rPh sb="34" eb="38">
      <t>ジシキケイスウ</t>
    </rPh>
    <phoneticPr fontId="2"/>
  </si>
  <si>
    <t>ポンプ仕様</t>
    <rPh sb="3" eb="5">
      <t>シヨウ</t>
    </rPh>
    <phoneticPr fontId="2"/>
  </si>
  <si>
    <t>2次側流量と必要往還差圧</t>
    <rPh sb="1" eb="5">
      <t>ジガワリュウリョウ</t>
    </rPh>
    <rPh sb="6" eb="8">
      <t>ヒツヨウ</t>
    </rPh>
    <rPh sb="8" eb="10">
      <t>オウカン</t>
    </rPh>
    <rPh sb="10" eb="12">
      <t>サアツ</t>
    </rPh>
    <phoneticPr fontId="2"/>
  </si>
  <si>
    <t>ポンプ</t>
  </si>
  <si>
    <t>INV</t>
  </si>
  <si>
    <t>設定</t>
  </si>
  <si>
    <t>Mpv</t>
  </si>
  <si>
    <t>RM,pv</t>
  </si>
  <si>
    <t xml:space="preserve"> dPtotal,sp</t>
  </si>
  <si>
    <t xml:space="preserve"> SPi,per1</t>
  </si>
  <si>
    <t>SPi,all</t>
  </si>
  <si>
    <t>RSPi,all</t>
  </si>
  <si>
    <t>m3/h</t>
  </si>
  <si>
    <t>rps</t>
  </si>
  <si>
    <t>kW</t>
  </si>
  <si>
    <t>軸動力計算に利用する特性式の選択</t>
    <rPh sb="0" eb="3">
      <t>ジクドウリョク</t>
    </rPh>
    <rPh sb="3" eb="5">
      <t>ケイサン</t>
    </rPh>
    <rPh sb="6" eb="8">
      <t>リヨウ</t>
    </rPh>
    <rPh sb="10" eb="12">
      <t>トクセイ</t>
    </rPh>
    <rPh sb="12" eb="13">
      <t>シキ</t>
    </rPh>
    <rPh sb="14" eb="16">
      <t>センタク</t>
    </rPh>
    <phoneticPr fontId="2"/>
  </si>
  <si>
    <t>計算設定</t>
    <rPh sb="0" eb="4">
      <t>ケイサンセッテイ</t>
    </rPh>
    <phoneticPr fontId="2"/>
  </si>
  <si>
    <t>（1）軸動力の計算</t>
    <rPh sb="3" eb="4">
      <t>ジク</t>
    </rPh>
    <rPh sb="4" eb="6">
      <t>ドウリョク</t>
    </rPh>
    <rPh sb="7" eb="9">
      <t>ケイサン</t>
    </rPh>
    <phoneticPr fontId="2"/>
  </si>
  <si>
    <t>軸動力を求める際に利用する特性式の選択</t>
    <rPh sb="0" eb="3">
      <t>ジクドウリョク</t>
    </rPh>
    <rPh sb="4" eb="5">
      <t>モト</t>
    </rPh>
    <rPh sb="7" eb="8">
      <t>サイ</t>
    </rPh>
    <rPh sb="9" eb="11">
      <t>リヨウ</t>
    </rPh>
    <rPh sb="13" eb="16">
      <t>トクセイシキ</t>
    </rPh>
    <rPh sb="17" eb="19">
      <t>センタク</t>
    </rPh>
    <phoneticPr fontId="17"/>
  </si>
  <si>
    <t>■流量ー圧力特性</t>
    <rPh sb="1" eb="3">
      <t>リュウリョウ</t>
    </rPh>
    <rPh sb="4" eb="6">
      <t>アツリョク</t>
    </rPh>
    <rPh sb="6" eb="8">
      <t>トクセイ</t>
    </rPh>
    <phoneticPr fontId="2"/>
  </si>
  <si>
    <t>ポンプ軸動力等計算過程</t>
    <rPh sb="3" eb="6">
      <t>ジクドウリョク</t>
    </rPh>
    <rPh sb="6" eb="7">
      <t>ナド</t>
    </rPh>
    <rPh sb="7" eb="11">
      <t>ケイサンカテイ</t>
    </rPh>
    <phoneticPr fontId="17"/>
  </si>
  <si>
    <t>任意評定用結果出力</t>
    <rPh sb="0" eb="5">
      <t>ニンイヒョウテイヨウ</t>
    </rPh>
    <rPh sb="5" eb="7">
      <t>ケッカ</t>
    </rPh>
    <rPh sb="7" eb="9">
      <t>シュツリョク</t>
    </rPh>
    <phoneticPr fontId="2"/>
  </si>
  <si>
    <t>回帰式の確認</t>
    <rPh sb="0" eb="3">
      <t>カイキシキ</t>
    </rPh>
    <rPh sb="4" eb="6">
      <t>カクニン</t>
    </rPh>
    <phoneticPr fontId="2"/>
  </si>
  <si>
    <t>ポンプ軸動力等の確認</t>
    <rPh sb="3" eb="6">
      <t>ジクドウリョク</t>
    </rPh>
    <rPh sb="6" eb="7">
      <t>ナド</t>
    </rPh>
    <rPh sb="8" eb="10">
      <t>カクニン</t>
    </rPh>
    <phoneticPr fontId="2"/>
  </si>
  <si>
    <t>軸動力</t>
  </si>
  <si>
    <t>定格回転数(ポンプの同期（回転）速度)</t>
    <rPh sb="0" eb="5">
      <t>テイカクカイテンスウ</t>
    </rPh>
    <rPh sb="10" eb="12">
      <t>ドウキ</t>
    </rPh>
    <rPh sb="13" eb="15">
      <t>カイテン</t>
    </rPh>
    <rPh sb="16" eb="18">
      <t>ソクド</t>
    </rPh>
    <phoneticPr fontId="2"/>
  </si>
  <si>
    <t>回転数比の最大値</t>
    <rPh sb="0" eb="3">
      <t>カイテンスウ</t>
    </rPh>
    <rPh sb="3" eb="4">
      <t>ヒ</t>
    </rPh>
    <rPh sb="5" eb="8">
      <t>サイダイチ</t>
    </rPh>
    <phoneticPr fontId="2"/>
  </si>
  <si>
    <t>回転数比の最小値</t>
    <rPh sb="0" eb="3">
      <t>カイテンスウ</t>
    </rPh>
    <rPh sb="3" eb="4">
      <t>ヒ</t>
    </rPh>
    <rPh sb="5" eb="8">
      <t>サイショウチ</t>
    </rPh>
    <phoneticPr fontId="2"/>
  </si>
  <si>
    <t>◇回転数比（定格回転数に対する比）の設定</t>
    <rPh sb="1" eb="5">
      <t>カイテンスウヒ</t>
    </rPh>
    <rPh sb="6" eb="11">
      <t>テイカクカイテンスウ</t>
    </rPh>
    <rPh sb="12" eb="13">
      <t>タイ</t>
    </rPh>
    <rPh sb="15" eb="16">
      <t>ヒ</t>
    </rPh>
    <rPh sb="18" eb="20">
      <t>セッテイ</t>
    </rPh>
    <phoneticPr fontId="2"/>
  </si>
  <si>
    <t>※軸動力の使用を推奨する</t>
    <rPh sb="1" eb="4">
      <t>ジクドウリョク</t>
    </rPh>
    <rPh sb="5" eb="7">
      <t>シヨウ</t>
    </rPh>
    <rPh sb="8" eb="10">
      <t>スイショウ</t>
    </rPh>
    <phoneticPr fontId="2"/>
  </si>
  <si>
    <t>商用電源周波数</t>
    <phoneticPr fontId="2"/>
  </si>
  <si>
    <t>■流量ー効率特性</t>
    <rPh sb="1" eb="3">
      <t>リュウリョウ</t>
    </rPh>
    <rPh sb="4" eb="6">
      <t>コウリツ</t>
    </rPh>
    <rPh sb="6" eb="8">
      <t>トクセイ</t>
    </rPh>
    <phoneticPr fontId="2"/>
  </si>
  <si>
    <t>■流量ー軸動力特性</t>
    <rPh sb="1" eb="3">
      <t>リュウリョウ</t>
    </rPh>
    <rPh sb="4" eb="7">
      <t>ジクドウリョク</t>
    </rPh>
    <rPh sb="7" eb="9">
      <t>トクセイ</t>
    </rPh>
    <phoneticPr fontId="2"/>
  </si>
  <si>
    <t>（2/2）2次冷温水配管系システムの名称</t>
    <rPh sb="6" eb="7">
      <t>ジ</t>
    </rPh>
    <rPh sb="7" eb="10">
      <t>レイオンスイ</t>
    </rPh>
    <rPh sb="10" eb="12">
      <t>ハイカン</t>
    </rPh>
    <rPh sb="12" eb="13">
      <t>ケイ</t>
    </rPh>
    <rPh sb="18" eb="20">
      <t>メイショウ</t>
    </rPh>
    <phoneticPr fontId="2"/>
  </si>
  <si>
    <t>2次冷温水配管システムの名称</t>
    <rPh sb="1" eb="2">
      <t>ジ</t>
    </rPh>
    <rPh sb="2" eb="5">
      <t>レイオンスイ</t>
    </rPh>
    <rPh sb="5" eb="7">
      <t>ハイカン</t>
    </rPh>
    <rPh sb="12" eb="14">
      <t>メイショウ</t>
    </rPh>
    <phoneticPr fontId="2"/>
  </si>
  <si>
    <t>サンプルデータ数</t>
    <rPh sb="7" eb="8">
      <t>スウ</t>
    </rPh>
    <phoneticPr fontId="17"/>
  </si>
  <si>
    <t>◇無次元流量範囲</t>
    <rPh sb="1" eb="4">
      <t>ムジゲン</t>
    </rPh>
    <rPh sb="4" eb="6">
      <t>リュウリョウ</t>
    </rPh>
    <rPh sb="6" eb="8">
      <t>ハンイ</t>
    </rPh>
    <phoneticPr fontId="17"/>
  </si>
  <si>
    <t>サンプル範囲</t>
    <rPh sb="4" eb="6">
      <t>ハンイ</t>
    </rPh>
    <phoneticPr fontId="17"/>
  </si>
  <si>
    <t>最小</t>
    <rPh sb="0" eb="2">
      <t>サイショウ</t>
    </rPh>
    <phoneticPr fontId="2"/>
  </si>
  <si>
    <t>最大</t>
    <rPh sb="0" eb="2">
      <t>サイダイ</t>
    </rPh>
    <phoneticPr fontId="2"/>
  </si>
  <si>
    <t>▶流量―ポンプ前後差圧特性</t>
    <rPh sb="1" eb="3">
      <t>リュウリョウ</t>
    </rPh>
    <rPh sb="7" eb="13">
      <t>ゼンゴサアツトクセイ</t>
    </rPh>
    <phoneticPr fontId="17"/>
  </si>
  <si>
    <t>サンプル最小無次元流量 C_f,min,sample</t>
    <rPh sb="4" eb="6">
      <t>サイショウ</t>
    </rPh>
    <rPh sb="6" eb="9">
      <t>ムジゲン</t>
    </rPh>
    <rPh sb="9" eb="11">
      <t>リュウリョウ</t>
    </rPh>
    <phoneticPr fontId="2"/>
  </si>
  <si>
    <t>サンプル最大無次元流量 C_f,max,sample</t>
    <rPh sb="4" eb="6">
      <t>サイダイ</t>
    </rPh>
    <rPh sb="6" eb="9">
      <t>ムジゲン</t>
    </rPh>
    <rPh sb="9" eb="11">
      <t>リュウリョウ</t>
    </rPh>
    <phoneticPr fontId="2"/>
  </si>
  <si>
    <t>ポンプ1台の電動機定格出力×ポンプ台数</t>
    <rPh sb="4" eb="5">
      <t>ダイ</t>
    </rPh>
    <rPh sb="6" eb="9">
      <t>デンドウキ</t>
    </rPh>
    <rPh sb="9" eb="11">
      <t>テイカク</t>
    </rPh>
    <rPh sb="11" eb="13">
      <t>シュツリョク</t>
    </rPh>
    <rPh sb="17" eb="19">
      <t>ダイスウ</t>
    </rPh>
    <phoneticPr fontId="2"/>
  </si>
  <si>
    <t>■確認用インターフェースで使用する資料の作成</t>
    <rPh sb="1" eb="4">
      <t>カクニンヨウ</t>
    </rPh>
    <rPh sb="13" eb="15">
      <t>シヨウ</t>
    </rPh>
    <rPh sb="17" eb="19">
      <t>シリョウ</t>
    </rPh>
    <rPh sb="20" eb="22">
      <t>サクセイ</t>
    </rPh>
    <phoneticPr fontId="17"/>
  </si>
  <si>
    <t>◇ユーザー確認用に使用するサンプリングデータの単位での特性曲線</t>
    <rPh sb="5" eb="8">
      <t>カクニンヨウ</t>
    </rPh>
    <rPh sb="9" eb="11">
      <t>シヨウ</t>
    </rPh>
    <rPh sb="23" eb="25">
      <t>タンイ</t>
    </rPh>
    <rPh sb="27" eb="31">
      <t>トクセイキョクセン</t>
    </rPh>
    <phoneticPr fontId="2"/>
  </si>
  <si>
    <t>▶回帰曲線</t>
    <rPh sb="1" eb="5">
      <t>カイキキョクセン</t>
    </rPh>
    <phoneticPr fontId="2"/>
  </si>
  <si>
    <t>▶サンプルデータ</t>
    <phoneticPr fontId="2"/>
  </si>
  <si>
    <t>サンプルデータの最小無次元流量</t>
    <rPh sb="8" eb="10">
      <t>サイショウ</t>
    </rPh>
    <rPh sb="10" eb="15">
      <t>ムジゲンリュウリョウ</t>
    </rPh>
    <phoneticPr fontId="2"/>
  </si>
  <si>
    <t>サンプルデータの最大無次元流量</t>
    <rPh sb="8" eb="10">
      <t>サイダイ</t>
    </rPh>
    <rPh sb="10" eb="15">
      <t>ムジゲンリュウリョウ</t>
    </rPh>
    <phoneticPr fontId="2"/>
  </si>
  <si>
    <t>True/False</t>
    <phoneticPr fontId="2"/>
  </si>
  <si>
    <t>C_f,cが軸動力サンプル範囲内である</t>
    <rPh sb="6" eb="9">
      <t>ジクドウリョク</t>
    </rPh>
    <rPh sb="13" eb="16">
      <t>ハンイナイ</t>
    </rPh>
    <phoneticPr fontId="2"/>
  </si>
  <si>
    <t>C_f,cが効率サンプル範囲内である</t>
    <rPh sb="6" eb="8">
      <t>コウリツ</t>
    </rPh>
    <rPh sb="12" eb="15">
      <t>ハンイナイ</t>
    </rPh>
    <phoneticPr fontId="2"/>
  </si>
  <si>
    <t>回転数比の最小値</t>
    <rPh sb="0" eb="4">
      <t>カイテンスウヒ</t>
    </rPh>
    <rPh sb="5" eb="8">
      <t>サイショウチ</t>
    </rPh>
    <phoneticPr fontId="2"/>
  </si>
  <si>
    <t>回転数比の最大値</t>
    <rPh sb="0" eb="4">
      <t>カイテンスウヒ</t>
    </rPh>
    <rPh sb="5" eb="8">
      <t>サイダイチ</t>
    </rPh>
    <phoneticPr fontId="2"/>
  </si>
  <si>
    <t>必要数入力されている</t>
    <rPh sb="0" eb="3">
      <t>ヒツヨウスウ</t>
    </rPh>
    <rPh sb="3" eb="5">
      <t>ニュウリョク</t>
    </rPh>
    <phoneticPr fontId="2"/>
  </si>
  <si>
    <r>
      <t>以下のグラフをポンプ仕様書の特性曲線と比較して、</t>
    </r>
    <r>
      <rPr>
        <sz val="11"/>
        <color rgb="FFFF0000"/>
        <rFont val="游ゴシック"/>
        <family val="3"/>
        <charset val="128"/>
        <scheme val="minor"/>
      </rPr>
      <t>「形状」</t>
    </r>
    <r>
      <rPr>
        <sz val="11"/>
        <color theme="1"/>
        <rFont val="游ゴシック"/>
        <family val="2"/>
        <charset val="128"/>
        <scheme val="minor"/>
      </rPr>
      <t>と</t>
    </r>
    <r>
      <rPr>
        <sz val="11"/>
        <color rgb="FFFF0000"/>
        <rFont val="游ゴシック"/>
        <family val="3"/>
        <charset val="128"/>
        <scheme val="minor"/>
      </rPr>
      <t>「単位」</t>
    </r>
    <r>
      <rPr>
        <sz val="11"/>
        <color theme="1"/>
        <rFont val="游ゴシック"/>
        <family val="2"/>
        <charset val="128"/>
        <scheme val="minor"/>
      </rPr>
      <t>が一致しているか確認する。</t>
    </r>
    <rPh sb="0" eb="2">
      <t>イカ</t>
    </rPh>
    <rPh sb="10" eb="13">
      <t>シヨウショ</t>
    </rPh>
    <rPh sb="14" eb="18">
      <t>トクセイキョクセン</t>
    </rPh>
    <rPh sb="19" eb="21">
      <t>ヒカク</t>
    </rPh>
    <rPh sb="25" eb="27">
      <t>ケイジョウ</t>
    </rPh>
    <rPh sb="30" eb="32">
      <t>タンイ</t>
    </rPh>
    <rPh sb="34" eb="36">
      <t>イッチ</t>
    </rPh>
    <rPh sb="41" eb="43">
      <t>カクニン</t>
    </rPh>
    <phoneticPr fontId="2"/>
  </si>
  <si>
    <t>一致ない場合には「入力1」をやり直す。</t>
    <rPh sb="0" eb="2">
      <t>イッチ</t>
    </rPh>
    <rPh sb="4" eb="6">
      <t>バアイ</t>
    </rPh>
    <rPh sb="9" eb="11">
      <t>ニュウリョク</t>
    </rPh>
    <rPh sb="16" eb="17">
      <t>ナオ</t>
    </rPh>
    <phoneticPr fontId="2"/>
  </si>
  <si>
    <t>必要条件を満たしていない場合は「入力1」のサンプリングデータをより広い範囲で取得し直す。</t>
    <rPh sb="0" eb="4">
      <t>ヒツヨウジョウケン</t>
    </rPh>
    <rPh sb="5" eb="6">
      <t>ミ</t>
    </rPh>
    <rPh sb="12" eb="14">
      <t>バアイ</t>
    </rPh>
    <rPh sb="16" eb="18">
      <t>ニュウリョク</t>
    </rPh>
    <rPh sb="33" eb="34">
      <t>ヒロ</t>
    </rPh>
    <rPh sb="35" eb="37">
      <t>ハンイ</t>
    </rPh>
    <rPh sb="38" eb="40">
      <t>シュトク</t>
    </rPh>
    <rPh sb="41" eb="42">
      <t>ナオ</t>
    </rPh>
    <phoneticPr fontId="2"/>
  </si>
  <si>
    <r>
      <t>軸動力は要求条件の流量を</t>
    </r>
    <r>
      <rPr>
        <b/>
        <u/>
        <sz val="11"/>
        <color theme="1"/>
        <rFont val="游ゴシック"/>
        <family val="3"/>
        <charset val="128"/>
        <scheme val="minor"/>
      </rPr>
      <t>無次元化された</t>
    </r>
    <r>
      <rPr>
        <sz val="11"/>
        <color theme="1"/>
        <rFont val="游ゴシック"/>
        <family val="2"/>
        <charset val="128"/>
        <scheme val="minor"/>
      </rPr>
      <t>「流量ー軸動力特性」「流量ー効率特性」曲線に適用して求めるため、</t>
    </r>
    <rPh sb="0" eb="3">
      <t>ジクドウリョク</t>
    </rPh>
    <rPh sb="4" eb="8">
      <t>ヨウキュウジョウケン</t>
    </rPh>
    <rPh sb="9" eb="11">
      <t>リュウリョウ</t>
    </rPh>
    <rPh sb="12" eb="16">
      <t>ムジゲンカ</t>
    </rPh>
    <rPh sb="20" eb="22">
      <t>リュウリョウ</t>
    </rPh>
    <rPh sb="23" eb="28">
      <t>ジクドウリョクトクセイ</t>
    </rPh>
    <rPh sb="30" eb="32">
      <t>リュウリョウ</t>
    </rPh>
    <rPh sb="33" eb="35">
      <t>コウリツ</t>
    </rPh>
    <rPh sb="35" eb="37">
      <t>トクセイ</t>
    </rPh>
    <rPh sb="38" eb="40">
      <t>キョクセン</t>
    </rPh>
    <rPh sb="41" eb="43">
      <t>テキヨウ</t>
    </rPh>
    <rPh sb="45" eb="46">
      <t>モト</t>
    </rPh>
    <phoneticPr fontId="2"/>
  </si>
  <si>
    <t>以下のグラフで「要求条件での計算結果」の全ての点がこの必要条件を満たしているか確認する。</t>
    <rPh sb="0" eb="2">
      <t>イカ</t>
    </rPh>
    <rPh sb="8" eb="12">
      <t>ヨウキュウジョウケン</t>
    </rPh>
    <rPh sb="14" eb="18">
      <t>ケイサンケッカ</t>
    </rPh>
    <rPh sb="20" eb="21">
      <t>スベ</t>
    </rPh>
    <rPh sb="23" eb="24">
      <t>テン</t>
    </rPh>
    <rPh sb="27" eb="29">
      <t>ヒツヨウ</t>
    </rPh>
    <rPh sb="29" eb="31">
      <t>ジョウケン</t>
    </rPh>
    <rPh sb="32" eb="33">
      <t>ミ</t>
    </rPh>
    <rPh sb="39" eb="41">
      <t>カクニン</t>
    </rPh>
    <phoneticPr fontId="2"/>
  </si>
  <si>
    <t>そのため、要求条件の流量を無次元化した値が各特性の回帰曲線のサンプル範囲上に存在する事が必要条件となる。</t>
    <rPh sb="5" eb="9">
      <t>ヨウキュウジョウケン</t>
    </rPh>
    <rPh sb="10" eb="12">
      <t>リュウリョウ</t>
    </rPh>
    <rPh sb="13" eb="16">
      <t>ムジゲン</t>
    </rPh>
    <rPh sb="16" eb="17">
      <t>カ</t>
    </rPh>
    <rPh sb="19" eb="20">
      <t>アタイ</t>
    </rPh>
    <rPh sb="21" eb="22">
      <t>カク</t>
    </rPh>
    <rPh sb="22" eb="24">
      <t>トクセイ</t>
    </rPh>
    <rPh sb="25" eb="27">
      <t>カイキ</t>
    </rPh>
    <rPh sb="27" eb="29">
      <t>キョクセン</t>
    </rPh>
    <rPh sb="34" eb="36">
      <t>ハンイ</t>
    </rPh>
    <rPh sb="36" eb="37">
      <t>ジョウ</t>
    </rPh>
    <rPh sb="38" eb="40">
      <t>ソンザイ</t>
    </rPh>
    <rPh sb="42" eb="43">
      <t>コト</t>
    </rPh>
    <rPh sb="44" eb="48">
      <t>ヒツヨウジョウケン</t>
    </rPh>
    <phoneticPr fontId="2"/>
  </si>
  <si>
    <t>■　2次側流量と必要往還差圧の関係式（1次式で設定）の導出【自動計算】</t>
    <rPh sb="3" eb="5">
      <t>ジガワ</t>
    </rPh>
    <rPh sb="5" eb="7">
      <t>リュウリョウ</t>
    </rPh>
    <rPh sb="8" eb="10">
      <t>ヒツヨウ</t>
    </rPh>
    <rPh sb="10" eb="14">
      <t>オウカンサアツ</t>
    </rPh>
    <rPh sb="15" eb="18">
      <t>カンケイシキ</t>
    </rPh>
    <rPh sb="20" eb="22">
      <t>ジシキ</t>
    </rPh>
    <rPh sb="23" eb="25">
      <t>セッテイ</t>
    </rPh>
    <rPh sb="27" eb="29">
      <t>ドウシュツ</t>
    </rPh>
    <rPh sb="30" eb="34">
      <t>ジドウケイサン</t>
    </rPh>
    <phoneticPr fontId="2"/>
  </si>
  <si>
    <t>入力項目</t>
    <rPh sb="0" eb="2">
      <t>ニュウリョク</t>
    </rPh>
    <rPh sb="2" eb="4">
      <t>コウモク</t>
    </rPh>
    <phoneticPr fontId="2"/>
  </si>
  <si>
    <t>入力値</t>
    <rPh sb="0" eb="3">
      <t>ニュウリョクチ</t>
    </rPh>
    <phoneticPr fontId="2"/>
  </si>
  <si>
    <t>備考</t>
    <rPh sb="0" eb="2">
      <t>ビコウ</t>
    </rPh>
    <phoneticPr fontId="2"/>
  </si>
  <si>
    <t>　　・2次側流量と必要往還差圧の1次式：　dPtotal,sp = a*Mpv + b　(a,bは係数）</t>
    <rPh sb="4" eb="6">
      <t>ジガワ</t>
    </rPh>
    <rPh sb="6" eb="8">
      <t>リュウリョウ</t>
    </rPh>
    <rPh sb="9" eb="11">
      <t>ヒツヨウ</t>
    </rPh>
    <rPh sb="11" eb="15">
      <t>オウカンサアツ</t>
    </rPh>
    <rPh sb="17" eb="19">
      <t>ジシキ</t>
    </rPh>
    <rPh sb="49" eb="51">
      <t>ケイスウ</t>
    </rPh>
    <phoneticPr fontId="2"/>
  </si>
  <si>
    <t>p1</t>
    <phoneticPr fontId="2"/>
  </si>
  <si>
    <r>
      <t>設計最大負荷熱量 (Q</t>
    </r>
    <r>
      <rPr>
        <sz val="6"/>
        <color theme="1"/>
        <rFont val="游ゴシック"/>
        <family val="3"/>
        <charset val="128"/>
        <scheme val="minor"/>
      </rPr>
      <t>R</t>
    </r>
    <r>
      <rPr>
        <sz val="8"/>
        <color theme="1"/>
        <rFont val="游ゴシック"/>
        <family val="3"/>
        <charset val="128"/>
        <scheme val="minor"/>
      </rPr>
      <t>)</t>
    </r>
    <phoneticPr fontId="2"/>
  </si>
  <si>
    <r>
      <t xml:space="preserve">          a=SLOOP(0:M</t>
    </r>
    <r>
      <rPr>
        <sz val="7"/>
        <color theme="1"/>
        <rFont val="游ゴシック"/>
        <family val="3"/>
        <charset val="128"/>
        <scheme val="minor"/>
      </rPr>
      <t>R</t>
    </r>
    <r>
      <rPr>
        <sz val="9"/>
        <color theme="1"/>
        <rFont val="游ゴシック"/>
        <family val="2"/>
        <charset val="128"/>
        <scheme val="minor"/>
      </rPr>
      <t>,dP</t>
    </r>
    <r>
      <rPr>
        <sz val="8"/>
        <color theme="1"/>
        <rFont val="游ゴシック"/>
        <family val="3"/>
        <charset val="128"/>
        <scheme val="minor"/>
      </rPr>
      <t>total,sp,min</t>
    </r>
    <r>
      <rPr>
        <sz val="9"/>
        <color theme="1"/>
        <rFont val="游ゴシック"/>
        <family val="2"/>
        <charset val="128"/>
        <scheme val="minor"/>
      </rPr>
      <t>,dP</t>
    </r>
    <r>
      <rPr>
        <sz val="8"/>
        <color theme="1"/>
        <rFont val="游ゴシック"/>
        <family val="3"/>
        <charset val="128"/>
        <scheme val="minor"/>
      </rPr>
      <t>total,sp,max</t>
    </r>
    <r>
      <rPr>
        <sz val="9"/>
        <color theme="1"/>
        <rFont val="游ゴシック"/>
        <family val="2"/>
        <charset val="128"/>
        <scheme val="minor"/>
      </rPr>
      <t>), b=dP</t>
    </r>
    <r>
      <rPr>
        <sz val="8"/>
        <color theme="1"/>
        <rFont val="游ゴシック"/>
        <family val="3"/>
        <charset val="128"/>
        <scheme val="minor"/>
      </rPr>
      <t>total.sp,min</t>
    </r>
    <phoneticPr fontId="2"/>
  </si>
  <si>
    <t>p2</t>
    <phoneticPr fontId="2"/>
  </si>
  <si>
    <r>
      <t>設計負荷温度差 (ΔT</t>
    </r>
    <r>
      <rPr>
        <sz val="6"/>
        <color theme="1"/>
        <rFont val="游ゴシック"/>
        <family val="3"/>
        <charset val="128"/>
        <scheme val="minor"/>
      </rPr>
      <t>R</t>
    </r>
    <r>
      <rPr>
        <sz val="8"/>
        <color theme="1"/>
        <rFont val="游ゴシック"/>
        <family val="3"/>
        <charset val="128"/>
        <scheme val="minor"/>
      </rPr>
      <t>)</t>
    </r>
    <phoneticPr fontId="2"/>
  </si>
  <si>
    <t>p3</t>
  </si>
  <si>
    <r>
      <t>設計最大流量 (M</t>
    </r>
    <r>
      <rPr>
        <sz val="6"/>
        <color theme="1"/>
        <rFont val="游ゴシック"/>
        <family val="3"/>
        <charset val="128"/>
        <scheme val="minor"/>
      </rPr>
      <t>R</t>
    </r>
    <r>
      <rPr>
        <sz val="8"/>
        <color theme="1"/>
        <rFont val="游ゴシック"/>
        <family val="3"/>
        <charset val="128"/>
        <scheme val="minor"/>
      </rPr>
      <t>)</t>
    </r>
    <r>
      <rPr>
        <sz val="8"/>
        <color rgb="FFFF0000"/>
        <rFont val="游ゴシック"/>
        <family val="3"/>
        <charset val="128"/>
        <scheme val="minor"/>
      </rPr>
      <t xml:space="preserve"> </t>
    </r>
    <phoneticPr fontId="2"/>
  </si>
  <si>
    <t>m3/h</t>
    <phoneticPr fontId="2"/>
  </si>
  <si>
    <t>p4</t>
    <phoneticPr fontId="2"/>
  </si>
  <si>
    <t>2次ポンプ台数 (n)</t>
  </si>
  <si>
    <t>予備機を除く台数とする</t>
    <rPh sb="0" eb="3">
      <t>ヨビキ</t>
    </rPh>
    <rPh sb="4" eb="5">
      <t>ノゾ</t>
    </rPh>
    <rPh sb="6" eb="8">
      <t>ダイスウ</t>
    </rPh>
    <phoneticPr fontId="2"/>
  </si>
  <si>
    <t>(Mpv)</t>
    <phoneticPr fontId="2"/>
  </si>
  <si>
    <t>(dPtoral,sp)</t>
    <phoneticPr fontId="2"/>
  </si>
  <si>
    <t>p5</t>
    <phoneticPr fontId="2"/>
  </si>
  <si>
    <t>往還差圧設定値 (設計最大流量時) (dPtotal,sp,max)</t>
    <phoneticPr fontId="2"/>
  </si>
  <si>
    <t>設計最大流量時に必要な二次ポンプシステム往還差圧</t>
    <rPh sb="0" eb="7">
      <t>セッケイサイダイリュウリョウジ</t>
    </rPh>
    <rPh sb="8" eb="10">
      <t>ヒツヨウ</t>
    </rPh>
    <rPh sb="11" eb="13">
      <t>ニジ</t>
    </rPh>
    <rPh sb="20" eb="24">
      <t>オウカンサアツ</t>
    </rPh>
    <phoneticPr fontId="2"/>
  </si>
  <si>
    <t>p6</t>
    <phoneticPr fontId="2"/>
  </si>
  <si>
    <t>末端差圧設定 (流量0時の往還差圧設定) (dPtotal,sp,min)</t>
    <phoneticPr fontId="2"/>
  </si>
  <si>
    <t>負荷流量0の時に必要な二次ポンプシステム</t>
    <rPh sb="0" eb="4">
      <t>フカリュウリョウ</t>
    </rPh>
    <rPh sb="6" eb="7">
      <t>トキ</t>
    </rPh>
    <rPh sb="8" eb="10">
      <t>ヒツヨウ</t>
    </rPh>
    <rPh sb="11" eb="13">
      <t>ニジ</t>
    </rPh>
    <phoneticPr fontId="2"/>
  </si>
  <si>
    <t>p7</t>
  </si>
  <si>
    <t>ポンプ増段閾値</t>
    <rPh sb="3" eb="5">
      <t>ゾウダン</t>
    </rPh>
    <rPh sb="5" eb="7">
      <t>イキチ</t>
    </rPh>
    <phoneticPr fontId="2"/>
  </si>
  <si>
    <t>b1のX％を決める</t>
    <rPh sb="6" eb="7">
      <t>キ</t>
    </rPh>
    <phoneticPr fontId="2"/>
  </si>
  <si>
    <t>p8</t>
  </si>
  <si>
    <r>
      <t>m</t>
    </r>
    <r>
      <rPr>
        <vertAlign val="superscript"/>
        <sz val="9"/>
        <color theme="1"/>
        <rFont val="游ゴシック"/>
        <family val="3"/>
        <charset val="128"/>
        <scheme val="minor"/>
      </rPr>
      <t>3</t>
    </r>
    <r>
      <rPr>
        <sz val="9"/>
        <color theme="1"/>
        <rFont val="游ゴシック"/>
        <family val="2"/>
        <charset val="128"/>
        <scheme val="minor"/>
      </rPr>
      <t>/h</t>
    </r>
    <phoneticPr fontId="2"/>
  </si>
  <si>
    <t>p9</t>
  </si>
  <si>
    <t>流量の単位　（1 = m3/h, 2 = m3/min, 3 = L/h, 4 = L/min, 5 = L/s）</t>
    <rPh sb="0" eb="2">
      <t>リュウリョウ</t>
    </rPh>
    <rPh sb="3" eb="5">
      <t>タンイ</t>
    </rPh>
    <phoneticPr fontId="2"/>
  </si>
  <si>
    <t>a2</t>
    <phoneticPr fontId="2"/>
  </si>
  <si>
    <t>圧力の単位　（1 = Pa, 2 = kPa, 3 = mmH2O,  4 = m）</t>
    <rPh sb="0" eb="2">
      <t>アツリョク</t>
    </rPh>
    <rPh sb="3" eb="5">
      <t>タンイ</t>
    </rPh>
    <phoneticPr fontId="2"/>
  </si>
  <si>
    <t>軸動力の単位　（1 = kW, 2 = W）</t>
    <rPh sb="0" eb="1">
      <t>ジク</t>
    </rPh>
    <rPh sb="1" eb="3">
      <t>ドウリョク</t>
    </rPh>
    <rPh sb="4" eb="6">
      <t>タンイ</t>
    </rPh>
    <phoneticPr fontId="2"/>
  </si>
  <si>
    <t>回転数の単位　（1 = 1/s, 2 = 1/min, 3 = 1/h）</t>
    <rPh sb="0" eb="3">
      <t>カイテンスウ</t>
    </rPh>
    <rPh sb="4" eb="6">
      <t>タンイ</t>
    </rPh>
    <phoneticPr fontId="2"/>
  </si>
  <si>
    <t>■　二次側流量率とポンプ軸動力比の関係式導出【自動計算】</t>
    <rPh sb="2" eb="5">
      <t>ニジガワ</t>
    </rPh>
    <rPh sb="5" eb="7">
      <t>リュウリョウ</t>
    </rPh>
    <rPh sb="7" eb="8">
      <t>リツ</t>
    </rPh>
    <rPh sb="12" eb="15">
      <t>ジクドウリョク</t>
    </rPh>
    <rPh sb="15" eb="16">
      <t>ヒ</t>
    </rPh>
    <rPh sb="17" eb="20">
      <t>カンケイシキ</t>
    </rPh>
    <rPh sb="20" eb="22">
      <t>ドウシュツ</t>
    </rPh>
    <rPh sb="23" eb="27">
      <t>ジドウケイサン</t>
    </rPh>
    <phoneticPr fontId="2"/>
  </si>
  <si>
    <t>効率の単位　（1=比率、2=%)</t>
    <rPh sb="0" eb="2">
      <t>コウリツ</t>
    </rPh>
    <rPh sb="3" eb="5">
      <t>タンイ</t>
    </rPh>
    <rPh sb="9" eb="11">
      <t>ヒリツ</t>
    </rPh>
    <phoneticPr fontId="2"/>
  </si>
  <si>
    <r>
      <t xml:space="preserve">二次側流量
</t>
    </r>
    <r>
      <rPr>
        <sz val="9"/>
        <color theme="1"/>
        <rFont val="游ゴシック"/>
        <family val="3"/>
        <charset val="128"/>
        <scheme val="minor"/>
      </rPr>
      <t>M</t>
    </r>
    <r>
      <rPr>
        <sz val="8"/>
        <color theme="1"/>
        <rFont val="游ゴシック"/>
        <family val="3"/>
        <charset val="128"/>
        <scheme val="minor"/>
      </rPr>
      <t>pv</t>
    </r>
    <rPh sb="0" eb="3">
      <t>ニジガワ</t>
    </rPh>
    <rPh sb="3" eb="5">
      <t>リュウリョウ</t>
    </rPh>
    <phoneticPr fontId="2"/>
  </si>
  <si>
    <r>
      <t>二次側流量率
R</t>
    </r>
    <r>
      <rPr>
        <sz val="7"/>
        <color theme="1"/>
        <rFont val="游ゴシック"/>
        <family val="3"/>
        <charset val="128"/>
        <scheme val="minor"/>
      </rPr>
      <t>m,pv</t>
    </r>
    <rPh sb="0" eb="3">
      <t>ニジガワ</t>
    </rPh>
    <rPh sb="3" eb="5">
      <t>リュウリョウ</t>
    </rPh>
    <rPh sb="5" eb="6">
      <t>リツ</t>
    </rPh>
    <phoneticPr fontId="2"/>
  </si>
  <si>
    <t>ポンプ
運転台数  n</t>
    <rPh sb="4" eb="6">
      <t>ウンテン</t>
    </rPh>
    <rPh sb="6" eb="7">
      <t>スウ</t>
    </rPh>
    <phoneticPr fontId="2"/>
  </si>
  <si>
    <t>運転ポンプ
1台当たりの流量</t>
    <rPh sb="0" eb="2">
      <t>ウンテン</t>
    </rPh>
    <rPh sb="7" eb="8">
      <t>ダイ</t>
    </rPh>
    <rPh sb="8" eb="9">
      <t>ア</t>
    </rPh>
    <rPh sb="12" eb="14">
      <t>リュウリョウ</t>
    </rPh>
    <phoneticPr fontId="2"/>
  </si>
  <si>
    <r>
      <t xml:space="preserve">往還差圧設定
</t>
    </r>
    <r>
      <rPr>
        <sz val="9"/>
        <color theme="1"/>
        <rFont val="游ゴシック"/>
        <family val="3"/>
        <charset val="128"/>
        <scheme val="minor"/>
      </rPr>
      <t xml:space="preserve"> dPtotal,sp</t>
    </r>
    <rPh sb="0" eb="2">
      <t>オウカン</t>
    </rPh>
    <rPh sb="2" eb="4">
      <t>サアツ</t>
    </rPh>
    <rPh sb="4" eb="6">
      <t>セッテイ</t>
    </rPh>
    <phoneticPr fontId="2"/>
  </si>
  <si>
    <r>
      <t>運転ポンプ1台当たりの軸動力 SP</t>
    </r>
    <r>
      <rPr>
        <sz val="6"/>
        <color theme="1"/>
        <rFont val="游ゴシック"/>
        <family val="3"/>
        <charset val="128"/>
        <scheme val="minor"/>
      </rPr>
      <t>i,per1</t>
    </r>
    <rPh sb="0" eb="2">
      <t>ウンテン</t>
    </rPh>
    <rPh sb="6" eb="7">
      <t>ダイ</t>
    </rPh>
    <rPh sb="7" eb="8">
      <t>ア</t>
    </rPh>
    <rPh sb="11" eb="12">
      <t>ジク</t>
    </rPh>
    <rPh sb="12" eb="14">
      <t>ドウリョク</t>
    </rPh>
    <phoneticPr fontId="2"/>
  </si>
  <si>
    <t>回転速度
N</t>
    <rPh sb="0" eb="4">
      <t>カイテンソクド</t>
    </rPh>
    <phoneticPr fontId="2"/>
  </si>
  <si>
    <r>
      <t>INV周波数比
HZ</t>
    </r>
    <r>
      <rPr>
        <sz val="6"/>
        <color theme="1"/>
        <rFont val="游ゴシック"/>
        <family val="3"/>
        <charset val="128"/>
        <scheme val="minor"/>
      </rPr>
      <t>pv</t>
    </r>
    <rPh sb="3" eb="6">
      <t>シュウハスウ</t>
    </rPh>
    <rPh sb="6" eb="7">
      <t>ヒ</t>
    </rPh>
    <phoneticPr fontId="2"/>
  </si>
  <si>
    <t>軸動力
合計SPi,all</t>
    <rPh sb="0" eb="1">
      <t>ジク</t>
    </rPh>
    <rPh sb="1" eb="3">
      <t>ドウリョク</t>
    </rPh>
    <rPh sb="4" eb="6">
      <t>ゴウケイ</t>
    </rPh>
    <phoneticPr fontId="2"/>
  </si>
  <si>
    <r>
      <t>合計軸動力比
R</t>
    </r>
    <r>
      <rPr>
        <sz val="6"/>
        <color theme="1"/>
        <rFont val="游ゴシック"/>
        <family val="3"/>
        <charset val="128"/>
        <scheme val="minor"/>
      </rPr>
      <t>SPi,all</t>
    </r>
    <rPh sb="0" eb="2">
      <t>ゴウケイ</t>
    </rPh>
    <rPh sb="2" eb="3">
      <t>ジク</t>
    </rPh>
    <rPh sb="3" eb="5">
      <t>ドウリョク</t>
    </rPh>
    <rPh sb="5" eb="6">
      <t>ヒ</t>
    </rPh>
    <phoneticPr fontId="2"/>
  </si>
  <si>
    <t>定格流量（運転点の流量）　＜単位はa1に従う＞</t>
    <rPh sb="0" eb="2">
      <t>テイカク</t>
    </rPh>
    <rPh sb="2" eb="4">
      <t>リュウリョウ</t>
    </rPh>
    <rPh sb="5" eb="8">
      <t>ウンテンテン</t>
    </rPh>
    <rPh sb="9" eb="11">
      <t>リュウリョウ</t>
    </rPh>
    <rPh sb="14" eb="16">
      <t>タンイ</t>
    </rPh>
    <rPh sb="20" eb="21">
      <t>シタガ</t>
    </rPh>
    <phoneticPr fontId="2"/>
  </si>
  <si>
    <t>b2</t>
    <phoneticPr fontId="2"/>
  </si>
  <si>
    <t>定格揚程(運転点の揚程=ポンプ前後差圧）　＜単位はa2に従う＞</t>
    <rPh sb="0" eb="2">
      <t>テイカク</t>
    </rPh>
    <rPh sb="2" eb="4">
      <t>ヨウテイ</t>
    </rPh>
    <rPh sb="5" eb="7">
      <t>ウンテン</t>
    </rPh>
    <rPh sb="7" eb="8">
      <t>テン</t>
    </rPh>
    <rPh sb="9" eb="11">
      <t>ヨウテイ</t>
    </rPh>
    <rPh sb="15" eb="19">
      <t>ゼンゴサアツ</t>
    </rPh>
    <rPh sb="22" eb="24">
      <t>タンイ</t>
    </rPh>
    <rPh sb="28" eb="29">
      <t>シタガ</t>
    </rPh>
    <phoneticPr fontId="2"/>
  </si>
  <si>
    <t>電動機定格出力(軸動力）　＜単位はa3に従う＞</t>
    <rPh sb="0" eb="3">
      <t>デンドウキ</t>
    </rPh>
    <rPh sb="3" eb="5">
      <t>テイカク</t>
    </rPh>
    <rPh sb="5" eb="7">
      <t>シュツリョク</t>
    </rPh>
    <rPh sb="8" eb="11">
      <t>ジクドウリョク</t>
    </rPh>
    <rPh sb="14" eb="16">
      <t>タンイ</t>
    </rPh>
    <rPh sb="20" eb="21">
      <t>シタガ</t>
    </rPh>
    <phoneticPr fontId="2"/>
  </si>
  <si>
    <t>定格回転数　＜単位はa4に従う＞</t>
    <rPh sb="0" eb="2">
      <t>テイカク</t>
    </rPh>
    <rPh sb="2" eb="5">
      <t>カイテンスウ</t>
    </rPh>
    <rPh sb="7" eb="9">
      <t>タンイ</t>
    </rPh>
    <phoneticPr fontId="2"/>
  </si>
  <si>
    <t>b5</t>
    <phoneticPr fontId="2"/>
  </si>
  <si>
    <t>定格周波数　＜単位はHz＞</t>
    <rPh sb="0" eb="2">
      <t>テイカク</t>
    </rPh>
    <rPh sb="2" eb="5">
      <t>シュウハスウ</t>
    </rPh>
    <rPh sb="7" eb="9">
      <t>タンイ</t>
    </rPh>
    <phoneticPr fontId="2"/>
  </si>
  <si>
    <t>運転流量比（最大）（％）　100%=設計最大流量</t>
    <rPh sb="0" eb="2">
      <t>ウンテン</t>
    </rPh>
    <rPh sb="2" eb="4">
      <t>リュウリョウ</t>
    </rPh>
    <rPh sb="4" eb="5">
      <t>ヒ</t>
    </rPh>
    <rPh sb="6" eb="8">
      <t>サイダイ</t>
    </rPh>
    <rPh sb="18" eb="20">
      <t>セッケイ</t>
    </rPh>
    <rPh sb="20" eb="22">
      <t>サイダイ</t>
    </rPh>
    <rPh sb="22" eb="24">
      <t>リュウリョウ</t>
    </rPh>
    <phoneticPr fontId="2"/>
  </si>
  <si>
    <t>運転流量比（最小）（％）　100%=設計最大流量</t>
    <rPh sb="0" eb="2">
      <t>ウンテン</t>
    </rPh>
    <rPh sb="2" eb="4">
      <t>リュウリョウ</t>
    </rPh>
    <rPh sb="4" eb="5">
      <t>ヒ</t>
    </rPh>
    <rPh sb="6" eb="8">
      <t>サイショウ</t>
    </rPh>
    <phoneticPr fontId="2"/>
  </si>
  <si>
    <t>c3</t>
  </si>
  <si>
    <t>回転数比（最大）（％）　100%=定格回転数</t>
    <rPh sb="0" eb="3">
      <t>カイテンスウ</t>
    </rPh>
    <rPh sb="3" eb="4">
      <t>ヒ</t>
    </rPh>
    <rPh sb="5" eb="7">
      <t>サイダイ</t>
    </rPh>
    <rPh sb="17" eb="19">
      <t>テイカク</t>
    </rPh>
    <rPh sb="19" eb="22">
      <t>カイテンスウ</t>
    </rPh>
    <phoneticPr fontId="2"/>
  </si>
  <si>
    <t>c4</t>
  </si>
  <si>
    <t>回転数比（最小）（％）　100%=定格回転数</t>
    <rPh sb="0" eb="3">
      <t>カイテンスウ</t>
    </rPh>
    <rPh sb="3" eb="4">
      <t>ヒ</t>
    </rPh>
    <rPh sb="5" eb="7">
      <t>サイショウ</t>
    </rPh>
    <rPh sb="17" eb="19">
      <t>テイカク</t>
    </rPh>
    <rPh sb="19" eb="22">
      <t>カイテンスウ</t>
    </rPh>
    <phoneticPr fontId="2"/>
  </si>
  <si>
    <t>揚程(差圧) P と流量 V の関係のデータ系列セット番号</t>
    <rPh sb="0" eb="2">
      <t>ヨウテイ</t>
    </rPh>
    <rPh sb="3" eb="5">
      <t>サアツ</t>
    </rPh>
    <rPh sb="10" eb="12">
      <t>リュウリョウ</t>
    </rPh>
    <rPh sb="16" eb="18">
      <t>カンケイ</t>
    </rPh>
    <rPh sb="22" eb="24">
      <t>ケイレツ</t>
    </rPh>
    <rPh sb="27" eb="29">
      <t>バンゴウ</t>
    </rPh>
    <phoneticPr fontId="2"/>
  </si>
  <si>
    <t>エンジンで計算するポイント(入力)</t>
    <rPh sb="5" eb="7">
      <t>ケイサン</t>
    </rPh>
    <rPh sb="14" eb="16">
      <t>ニュウリョク</t>
    </rPh>
    <phoneticPr fontId="2"/>
  </si>
  <si>
    <t>エンジン計算結果(出力結果)</t>
    <rPh sb="4" eb="6">
      <t>ケイサン</t>
    </rPh>
    <rPh sb="6" eb="8">
      <t>ケッカ</t>
    </rPh>
    <rPh sb="9" eb="11">
      <t>シュツリョク</t>
    </rPh>
    <rPh sb="11" eb="13">
      <t>ケッカ</t>
    </rPh>
    <phoneticPr fontId="2"/>
  </si>
  <si>
    <t>d2</t>
    <phoneticPr fontId="2"/>
  </si>
  <si>
    <t>効率 F と流量 V の関係のデータ系列セット番号</t>
    <rPh sb="0" eb="2">
      <t>コウリツ</t>
    </rPh>
    <rPh sb="6" eb="8">
      <t>リュウリョウ</t>
    </rPh>
    <rPh sb="12" eb="14">
      <t>カンケイ</t>
    </rPh>
    <rPh sb="18" eb="20">
      <t>ケイレツ</t>
    </rPh>
    <rPh sb="23" eb="25">
      <t>バンゴウ</t>
    </rPh>
    <phoneticPr fontId="2"/>
  </si>
  <si>
    <t>軸動力 E と流量 V の関係のデータ系列セット番号</t>
    <rPh sb="0" eb="3">
      <t>ジクドウリョク</t>
    </rPh>
    <rPh sb="7" eb="9">
      <t>リュウリョウ</t>
    </rPh>
    <rPh sb="13" eb="15">
      <t>カンケイ</t>
    </rPh>
    <rPh sb="19" eb="21">
      <t>ケイレツ</t>
    </rPh>
    <rPh sb="24" eb="26">
      <t>バンゴウ</t>
    </rPh>
    <phoneticPr fontId="2"/>
  </si>
  <si>
    <r>
      <t>　R</t>
    </r>
    <r>
      <rPr>
        <sz val="6"/>
        <color theme="1"/>
        <rFont val="游ゴシック"/>
        <family val="3"/>
        <charset val="128"/>
        <scheme val="minor"/>
      </rPr>
      <t xml:space="preserve">SPi,all </t>
    </r>
    <r>
      <rPr>
        <sz val="9"/>
        <color theme="1"/>
        <rFont val="游ゴシック"/>
        <family val="2"/>
        <charset val="128"/>
        <scheme val="minor"/>
      </rPr>
      <t>= a*R</t>
    </r>
    <r>
      <rPr>
        <sz val="7"/>
        <color theme="1"/>
        <rFont val="游ゴシック"/>
        <family val="3"/>
        <charset val="128"/>
        <scheme val="minor"/>
      </rPr>
      <t>M,pv</t>
    </r>
    <r>
      <rPr>
        <sz val="9"/>
        <color theme="1"/>
        <rFont val="游ゴシック"/>
        <family val="2"/>
        <charset val="128"/>
        <scheme val="minor"/>
      </rPr>
      <t>^3+b*R</t>
    </r>
    <r>
      <rPr>
        <sz val="7"/>
        <color theme="1"/>
        <rFont val="游ゴシック"/>
        <family val="3"/>
        <charset val="128"/>
        <scheme val="minor"/>
      </rPr>
      <t>M,pv</t>
    </r>
    <r>
      <rPr>
        <sz val="9"/>
        <color theme="1"/>
        <rFont val="游ゴシック"/>
        <family val="2"/>
        <charset val="128"/>
        <scheme val="minor"/>
      </rPr>
      <t>^2+c*R</t>
    </r>
    <r>
      <rPr>
        <sz val="7"/>
        <color theme="1"/>
        <rFont val="游ゴシック"/>
        <family val="3"/>
        <charset val="128"/>
        <scheme val="minor"/>
      </rPr>
      <t>M,pv</t>
    </r>
    <r>
      <rPr>
        <sz val="9"/>
        <color theme="1"/>
        <rFont val="游ゴシック"/>
        <family val="2"/>
        <charset val="128"/>
        <scheme val="minor"/>
      </rPr>
      <t>+d (a,b,c,d は係数）</t>
    </r>
    <rPh sb="52" eb="54">
      <t>ケイスウ</t>
    </rPh>
    <phoneticPr fontId="2"/>
  </si>
  <si>
    <t>g1</t>
    <phoneticPr fontId="2"/>
  </si>
  <si>
    <t>g2</t>
  </si>
  <si>
    <t>g3</t>
  </si>
  <si>
    <t>g4</t>
  </si>
  <si>
    <t>印刷書式</t>
    <rPh sb="0" eb="2">
      <t>インサツ</t>
    </rPh>
    <rPh sb="2" eb="4">
      <t>ショシキ</t>
    </rPh>
    <phoneticPr fontId="2"/>
  </si>
  <si>
    <t>流量[l/min]</t>
  </si>
  <si>
    <t>全揚程[m]</t>
  </si>
  <si>
    <t>ポンプ効率％</t>
  </si>
  <si>
    <t>軸動力[kW]</t>
  </si>
  <si>
    <t xml:space="preserve"> </t>
  </si>
  <si>
    <t>流量ー軸動力特性</t>
    <rPh sb="0" eb="2">
      <t>リュウリョウ</t>
    </rPh>
    <rPh sb="3" eb="6">
      <t>ジクドウリョク</t>
    </rPh>
    <rPh sb="6" eb="8">
      <t>トクセイ</t>
    </rPh>
    <phoneticPr fontId="2"/>
  </si>
  <si>
    <t>ポンプ特性
(メーカのグラフの実線全てがモデル化対象になっているかを確認する)</t>
    <rPh sb="3" eb="5">
      <t>トクセイ</t>
    </rPh>
    <phoneticPr fontId="2"/>
  </si>
  <si>
    <t>▶定格流量</t>
    <rPh sb="1" eb="5">
      <t>テイカクリュウリョウ</t>
    </rPh>
    <phoneticPr fontId="2"/>
  </si>
  <si>
    <t>消費電力費</t>
    <rPh sb="0" eb="5">
      <t>ショウヒデンリョクヒ</t>
    </rPh>
    <phoneticPr fontId="2"/>
  </si>
  <si>
    <t>実測値</t>
    <rPh sb="0" eb="3">
      <t>ジッソクチ</t>
    </rPh>
    <phoneticPr fontId="2"/>
  </si>
  <si>
    <t>（1）実測値</t>
    <rPh sb="3" eb="6">
      <t>ジッソクチ</t>
    </rPh>
    <phoneticPr fontId="2"/>
  </si>
  <si>
    <t>ポイント</t>
    <phoneticPr fontId="2"/>
  </si>
  <si>
    <t>2次側流量率</t>
    <rPh sb="1" eb="3">
      <t>ジガワ</t>
    </rPh>
    <rPh sb="3" eb="6">
      <t>リュウリョウリツ</t>
    </rPh>
    <phoneticPr fontId="2"/>
  </si>
  <si>
    <t>バイパス流量設定値付近</t>
    <rPh sb="4" eb="11">
      <t>リュウリョウセッテイチフキン</t>
    </rPh>
    <phoneticPr fontId="2"/>
  </si>
  <si>
    <t>設計最大流量</t>
    <rPh sb="0" eb="6">
      <t>セッケイサイダイリュウリョウ</t>
    </rPh>
    <phoneticPr fontId="2"/>
  </si>
  <si>
    <t>2次ポンプ</t>
    <rPh sb="1" eb="2">
      <t>ジ</t>
    </rPh>
    <phoneticPr fontId="2"/>
  </si>
  <si>
    <t>運転台数</t>
    <rPh sb="0" eb="4">
      <t>ウンテンダイスウ</t>
    </rPh>
    <phoneticPr fontId="2"/>
  </si>
  <si>
    <t>消費電力</t>
    <rPh sb="0" eb="4">
      <t>ショウヒデンリョク</t>
    </rPh>
    <phoneticPr fontId="2"/>
  </si>
  <si>
    <t>1次ポンプ</t>
    <rPh sb="1" eb="2">
      <t>ジ</t>
    </rPh>
    <phoneticPr fontId="2"/>
  </si>
  <si>
    <t>2次側</t>
    <rPh sb="1" eb="3">
      <t>ジガワ</t>
    </rPh>
    <phoneticPr fontId="2"/>
  </si>
  <si>
    <t>差圧</t>
    <rPh sb="0" eb="2">
      <t>サアツ</t>
    </rPh>
    <phoneticPr fontId="2"/>
  </si>
  <si>
    <t>末端</t>
    <rPh sb="0" eb="2">
      <t>マッタン</t>
    </rPh>
    <phoneticPr fontId="2"/>
  </si>
  <si>
    <t>2次側流量比とポンプ軸動力比（実測値）</t>
    <rPh sb="1" eb="3">
      <t>ジガワ</t>
    </rPh>
    <rPh sb="3" eb="5">
      <t>リュウリョウ</t>
    </rPh>
    <rPh sb="5" eb="6">
      <t>ヒ</t>
    </rPh>
    <rPh sb="10" eb="11">
      <t>ジク</t>
    </rPh>
    <rPh sb="11" eb="13">
      <t>ドウリョク</t>
    </rPh>
    <rPh sb="13" eb="14">
      <t>ヒ</t>
    </rPh>
    <rPh sb="15" eb="18">
      <t>ジッソクチ</t>
    </rPh>
    <phoneticPr fontId="2"/>
  </si>
  <si>
    <t>2次側流量比とポンプ軸動力比（計算値）</t>
    <rPh sb="1" eb="3">
      <t>ジガワ</t>
    </rPh>
    <rPh sb="3" eb="5">
      <t>リュウリョウ</t>
    </rPh>
    <rPh sb="5" eb="6">
      <t>ヒ</t>
    </rPh>
    <rPh sb="10" eb="11">
      <t>ジク</t>
    </rPh>
    <rPh sb="11" eb="13">
      <t>ドウリョク</t>
    </rPh>
    <rPh sb="13" eb="14">
      <t>ヒ</t>
    </rPh>
    <rPh sb="15" eb="18">
      <t>ケイサンチ</t>
    </rPh>
    <phoneticPr fontId="2"/>
  </si>
  <si>
    <t>※「消費電力を求めるための係数」とは、Webプログラムに入力された「定格消費電力」に乗じて流量率に応じた消費電力を求めるための係数である。</t>
    <phoneticPr fontId="2"/>
  </si>
  <si>
    <t>計算値</t>
    <rPh sb="0" eb="3">
      <t>ケイサンチ</t>
    </rPh>
    <phoneticPr fontId="2"/>
  </si>
  <si>
    <t>■計算値</t>
    <rPh sb="1" eb="4">
      <t>ケイサンチ</t>
    </rPh>
    <phoneticPr fontId="2"/>
  </si>
  <si>
    <t>■実測値</t>
    <rPh sb="1" eb="4">
      <t>ジッソクチ</t>
    </rPh>
    <phoneticPr fontId="2"/>
  </si>
  <si>
    <t>の消費電力</t>
    <rPh sb="1" eb="5">
      <t>ショウヒデンリョク</t>
    </rPh>
    <phoneticPr fontId="2"/>
  </si>
  <si>
    <t>y</t>
    <phoneticPr fontId="2"/>
  </si>
  <si>
    <t>=</t>
    <phoneticPr fontId="2"/>
  </si>
  <si>
    <t>■グラフ描画用バックデータ</t>
    <rPh sb="4" eb="7">
      <t>ビョウガヨウ</t>
    </rPh>
    <phoneticPr fontId="2"/>
  </si>
  <si>
    <t>次数</t>
    <rPh sb="0" eb="2">
      <t>ジスウ</t>
    </rPh>
    <phoneticPr fontId="2"/>
  </si>
  <si>
    <t>0でない</t>
    <phoneticPr fontId="2"/>
  </si>
  <si>
    <t>空欄でない</t>
    <rPh sb="0" eb="2">
      <t>クウラン</t>
    </rPh>
    <phoneticPr fontId="2"/>
  </si>
  <si>
    <t>有効</t>
    <rPh sb="0" eb="2">
      <t>ユウコウ</t>
    </rPh>
    <phoneticPr fontId="2"/>
  </si>
  <si>
    <t>有効行番号</t>
    <rPh sb="0" eb="5">
      <t>ユウコウギョウバンゴウ</t>
    </rPh>
    <phoneticPr fontId="2"/>
  </si>
  <si>
    <t>注1）Lambda関数が使えるExcelのバージョンの調査方法</t>
    <rPh sb="0" eb="1">
      <t>チュウ</t>
    </rPh>
    <rPh sb="9" eb="11">
      <t>カンスウ</t>
    </rPh>
    <rPh sb="12" eb="13">
      <t>ツカ</t>
    </rPh>
    <rPh sb="27" eb="31">
      <t>チョウサホウホウ</t>
    </rPh>
    <phoneticPr fontId="2"/>
  </si>
  <si>
    <t>注2）Lambda関数が使えない場合の対処方法</t>
    <rPh sb="0" eb="1">
      <t>チュウ</t>
    </rPh>
    <rPh sb="9" eb="11">
      <t>カンスウ</t>
    </rPh>
    <rPh sb="12" eb="13">
      <t>ツカ</t>
    </rPh>
    <rPh sb="16" eb="18">
      <t>バアイ</t>
    </rPh>
    <rPh sb="19" eb="23">
      <t>タイショホウホウ</t>
    </rPh>
    <phoneticPr fontId="2"/>
  </si>
  <si>
    <t>■本プログラムの使用手順</t>
    <rPh sb="1" eb="2">
      <t>ホン</t>
    </rPh>
    <rPh sb="8" eb="10">
      <t>シヨウ</t>
    </rPh>
    <rPh sb="10" eb="12">
      <t>テジュン</t>
    </rPh>
    <phoneticPr fontId="2"/>
  </si>
  <si>
    <t>■本プログラムの必要要件</t>
    <rPh sb="1" eb="2">
      <t>ホン</t>
    </rPh>
    <rPh sb="8" eb="12">
      <t>ヒツヨウヨウケン</t>
    </rPh>
    <phoneticPr fontId="2"/>
  </si>
  <si>
    <t>■シートの名称と機能</t>
    <rPh sb="5" eb="7">
      <t>メイショウ</t>
    </rPh>
    <rPh sb="8" eb="10">
      <t>キノウ</t>
    </rPh>
    <phoneticPr fontId="2"/>
  </si>
  <si>
    <t>No.</t>
    <phoneticPr fontId="2"/>
  </si>
  <si>
    <t>シート名称</t>
    <rPh sb="3" eb="5">
      <t>メイショウ</t>
    </rPh>
    <phoneticPr fontId="2"/>
  </si>
  <si>
    <t>機能</t>
    <rPh sb="0" eb="2">
      <t>キノウ</t>
    </rPh>
    <phoneticPr fontId="2"/>
  </si>
  <si>
    <t>使い方</t>
    <rPh sb="0" eb="1">
      <t>ツカ</t>
    </rPh>
    <rPh sb="2" eb="3">
      <t>カタ</t>
    </rPh>
    <phoneticPr fontId="2"/>
  </si>
  <si>
    <t>入力0</t>
    <rPh sb="0" eb="2">
      <t>ニュウリョク</t>
    </rPh>
    <phoneticPr fontId="2"/>
  </si>
  <si>
    <t>入力1</t>
    <rPh sb="0" eb="2">
      <t>ニュウリョク</t>
    </rPh>
    <phoneticPr fontId="2"/>
  </si>
  <si>
    <t>入力2</t>
    <rPh sb="0" eb="2">
      <t>ニュウリョク</t>
    </rPh>
    <phoneticPr fontId="2"/>
  </si>
  <si>
    <t>入力3</t>
    <rPh sb="0" eb="2">
      <t>ニュウリョク</t>
    </rPh>
    <phoneticPr fontId="2"/>
  </si>
  <si>
    <t>入力4</t>
    <rPh sb="0" eb="2">
      <t>ニュウリョク</t>
    </rPh>
    <phoneticPr fontId="2"/>
  </si>
  <si>
    <t>入力5</t>
    <rPh sb="0" eb="2">
      <t>ニュウリョク</t>
    </rPh>
    <phoneticPr fontId="2"/>
  </si>
  <si>
    <t>ポンプ特性の回帰分析結果の妥当性の確認</t>
    <rPh sb="3" eb="5">
      <t>トクセイ</t>
    </rPh>
    <rPh sb="6" eb="8">
      <t>カイキ</t>
    </rPh>
    <rPh sb="8" eb="10">
      <t>ブンセキ</t>
    </rPh>
    <rPh sb="10" eb="12">
      <t>ケッカ</t>
    </rPh>
    <rPh sb="13" eb="16">
      <t>ダトウセイ</t>
    </rPh>
    <rPh sb="17" eb="19">
      <t>カクニン</t>
    </rPh>
    <phoneticPr fontId="2"/>
  </si>
  <si>
    <t>「入力0～5」シートで</t>
    <rPh sb="1" eb="3">
      <t>ニュウリョク</t>
    </rPh>
    <phoneticPr fontId="2"/>
  </si>
  <si>
    <t>ver. 1.0.0</t>
    <phoneticPr fontId="2"/>
  </si>
  <si>
    <t>secondary_pump</t>
    <phoneticPr fontId="2"/>
  </si>
  <si>
    <t>二次ポンプシステム消費電力算定のための三次式係数の導出結果</t>
    <phoneticPr fontId="2"/>
  </si>
  <si>
    <t>https://support.microsoft.com/ja-jp/office/%E4%BD%BF%E7%94%A8%E3%81%97%E3%81%A6%E3%81%84%E3%82%8B-office-%E3%81%AE%E3%83%90%E3%83%BC%E3%82%B8%E3%83%A7%E3%83%B3%E3%82%92%E7%A2%BA%E8%AA%8D%E3%81%99%E3%82%8B%E6%96%B9%E6%B3%95-932788b8-a3ce-44bf-bb09-e334518b8b19</t>
    <phoneticPr fontId="2"/>
  </si>
  <si>
    <t>Lambda関数が使用できること。（確認方法は注1を参照）</t>
    <rPh sb="6" eb="8">
      <t>カンスウ</t>
    </rPh>
    <rPh sb="9" eb="11">
      <t>シヨウ</t>
    </rPh>
    <rPh sb="18" eb="22">
      <t>カクニンホウホウ</t>
    </rPh>
    <rPh sb="23" eb="24">
      <t>チュウ</t>
    </rPh>
    <rPh sb="26" eb="28">
      <t>サンショウ</t>
    </rPh>
    <phoneticPr fontId="2"/>
  </si>
  <si>
    <t>注3）ExcelのPDF出力方法</t>
    <rPh sb="0" eb="1">
      <t>チュウ</t>
    </rPh>
    <rPh sb="12" eb="14">
      <t>シュツリョク</t>
    </rPh>
    <rPh sb="14" eb="16">
      <t>ホウホウ</t>
    </rPh>
    <phoneticPr fontId="2"/>
  </si>
  <si>
    <t>ファイルの種類で「PDF(*.pdf)」を選択し「保存」する。</t>
    <rPh sb="5" eb="7">
      <t>シュルイ</t>
    </rPh>
    <rPh sb="21" eb="23">
      <t>センタク</t>
    </rPh>
    <rPh sb="25" eb="27">
      <t>ホゾン</t>
    </rPh>
    <phoneticPr fontId="2"/>
  </si>
  <si>
    <t>方法1：</t>
    <rPh sb="0" eb="2">
      <t>ホウホウ</t>
    </rPh>
    <phoneticPr fontId="2"/>
  </si>
  <si>
    <t>方法2：</t>
    <rPh sb="0" eb="2">
      <t>ホウホウ</t>
    </rPh>
    <phoneticPr fontId="2"/>
  </si>
  <si>
    <t>プリンターで「Microsoft  Print to PDF」を選択し「印刷」する。</t>
    <rPh sb="32" eb="34">
      <t>センタク</t>
    </rPh>
    <rPh sb="36" eb="38">
      <t>インサツ</t>
    </rPh>
    <phoneticPr fontId="2"/>
  </si>
  <si>
    <t>LAMDA関数を使用可能なExcelのバージョンは以下のURLで確認できる。</t>
    <rPh sb="5" eb="7">
      <t>カンスウ</t>
    </rPh>
    <rPh sb="8" eb="12">
      <t>シヨウカノウ</t>
    </rPh>
    <rPh sb="25" eb="27">
      <t>イカ</t>
    </rPh>
    <rPh sb="32" eb="34">
      <t>カクニン</t>
    </rPh>
    <phoneticPr fontId="2"/>
  </si>
  <si>
    <t>（Lambda関数が使用できない場合は注2を参照）</t>
    <rPh sb="7" eb="9">
      <t>カンスウ</t>
    </rPh>
    <rPh sb="10" eb="12">
      <t>シヨウ</t>
    </rPh>
    <rPh sb="16" eb="18">
      <t>バアイ</t>
    </rPh>
    <rPh sb="19" eb="20">
      <t>チュウ</t>
    </rPh>
    <rPh sb="22" eb="24">
      <t>サンショウ</t>
    </rPh>
    <phoneticPr fontId="2"/>
  </si>
  <si>
    <t>Lambda関数を利用可能なオンライン版のエクセル（Excel for the web）を利用する。</t>
    <rPh sb="11" eb="13">
      <t>カノウ</t>
    </rPh>
    <rPh sb="19" eb="20">
      <t>バン</t>
    </rPh>
    <rPh sb="45" eb="47">
      <t>リヨウ</t>
    </rPh>
    <phoneticPr fontId="2"/>
  </si>
  <si>
    <t>使用しているExcelのバージョンは以下の方法で確認できる。</t>
    <rPh sb="0" eb="2">
      <t>シヨウ</t>
    </rPh>
    <rPh sb="18" eb="20">
      <t>イカ</t>
    </rPh>
    <rPh sb="21" eb="23">
      <t>ホウホウ</t>
    </rPh>
    <rPh sb="24" eb="26">
      <t>カクニン</t>
    </rPh>
    <phoneticPr fontId="2"/>
  </si>
  <si>
    <t>使用許諾条件</t>
  </si>
  <si>
    <t>下記の使用許諾条件に同意の上、本プログラムを使用してください。</t>
  </si>
  <si>
    <t>本プログラムの利用者（以下単に「利用者」といいます。）は、本プログラムを無料で使用することができます。</t>
    <phoneticPr fontId="2"/>
  </si>
  <si>
    <t>利用者等が本プログラムの全部又は一部を修正、改変することを禁止します。</t>
    <phoneticPr fontId="2"/>
  </si>
  <si>
    <t>利用者等が本プログラムの全部又は一部を頒布すること、媒体の如何を問わず複製し第三者に譲渡、販売、貸与、使用許諾することを禁止します。</t>
    <phoneticPr fontId="2"/>
  </si>
  <si>
    <t>本プログラムを管理している（一財）住宅・建築SDGs推進センター（以下、「IBECs」といいます。）は、理由の如何を問わず、利用者に事前の通知等をすることなく、本プログラムの全部又は一部を変更、追加、削除等（本プログラムの提供の一時的な停止を含みます。）することができるものとします。</t>
  </si>
  <si>
    <t>IBECsは、本プログラムについて、その完全性、正確性、確実性その他いかなる事項に関する保証も行わないこととします。</t>
  </si>
  <si>
    <t>IBECsは、利用者が本プログラムを使用したことに伴っていかなる損害、損失等が生じたとしても、これらについて一切の保証責任及び賠償責任を負わないものとします。</t>
  </si>
  <si>
    <t>IBECsは、第4項により本プログラムの全部又は一部が変更、追加、削除等されたことに伴っていかなる損害、損失等が生じたとしても、これらについて一切の保証責任及び賠償責任を負わないものとします。</t>
  </si>
  <si>
    <t>IBECsは、本プログラムを本サービスで明記する注意制限事項等で特定する以外の機器又はプログラムと組み合わせること、また、第2項に反して本プログラムを改変すること等に起因して生じた損害、損失等について一切の責任を負わないものとします。</t>
  </si>
  <si>
    <t>1.</t>
    <phoneticPr fontId="2"/>
  </si>
  <si>
    <t>2.</t>
    <phoneticPr fontId="2"/>
  </si>
  <si>
    <t>3.</t>
    <phoneticPr fontId="2"/>
  </si>
  <si>
    <t>4.</t>
    <phoneticPr fontId="2"/>
  </si>
  <si>
    <t>5.</t>
    <phoneticPr fontId="2"/>
  </si>
  <si>
    <t>6.</t>
    <phoneticPr fontId="2"/>
  </si>
  <si>
    <t>7.</t>
    <phoneticPr fontId="2"/>
  </si>
  <si>
    <t>8.</t>
    <phoneticPr fontId="2"/>
  </si>
  <si>
    <t>流量[l/min]</t>
    <phoneticPr fontId="2"/>
  </si>
  <si>
    <t>軸動力</t>
    <phoneticPr fontId="2"/>
  </si>
  <si>
    <t>PDF出力するワークシートを表示した状態で「名前を付けて保存」を実行し、</t>
    <phoneticPr fontId="2"/>
  </si>
  <si>
    <t>PDF出力するワークシートを表示した状態で「印刷」を実行し、</t>
    <rPh sb="22" eb="24">
      <t>インサツ</t>
    </rPh>
    <phoneticPr fontId="2"/>
  </si>
  <si>
    <t>A</t>
    <phoneticPr fontId="2"/>
  </si>
  <si>
    <t>B</t>
    <phoneticPr fontId="2"/>
  </si>
  <si>
    <t>Ex. 1</t>
    <phoneticPr fontId="2"/>
  </si>
  <si>
    <t>Ex. 2</t>
    <phoneticPr fontId="2"/>
  </si>
  <si>
    <t>Ex. 3</t>
  </si>
  <si>
    <t>Ex. 4</t>
  </si>
  <si>
    <t>Ex. 5</t>
  </si>
  <si>
    <t>Ex. 6</t>
  </si>
  <si>
    <t>Ex. 7</t>
  </si>
  <si>
    <t>Ex. 8</t>
  </si>
  <si>
    <t>Ex. 9</t>
  </si>
  <si>
    <t>Ex. 10</t>
  </si>
  <si>
    <t>Ex. 11</t>
  </si>
  <si>
    <t>Ex. 12</t>
  </si>
  <si>
    <t>Ex. 13</t>
  </si>
  <si>
    <t>Ex. 14</t>
  </si>
  <si>
    <t>Ex. 15</t>
  </si>
  <si>
    <t>C1</t>
    <phoneticPr fontId="2"/>
  </si>
  <si>
    <t>C2</t>
    <phoneticPr fontId="2"/>
  </si>
  <si>
    <t>C3</t>
    <phoneticPr fontId="2"/>
  </si>
  <si>
    <t>D_1</t>
    <phoneticPr fontId="2"/>
  </si>
  <si>
    <t>D_2</t>
    <phoneticPr fontId="2"/>
  </si>
  <si>
    <t>D_3</t>
  </si>
  <si>
    <t>D_4</t>
  </si>
  <si>
    <t>D_5</t>
  </si>
  <si>
    <t>D_6</t>
  </si>
  <si>
    <t>D_7</t>
  </si>
  <si>
    <t>D_8</t>
  </si>
  <si>
    <t>D_9</t>
  </si>
  <si>
    <t>D_10</t>
  </si>
  <si>
    <t>E</t>
    <phoneticPr fontId="2"/>
  </si>
  <si>
    <t>F</t>
    <phoneticPr fontId="2"/>
  </si>
  <si>
    <t>Ex. 16</t>
  </si>
  <si>
    <t>Ex. 17</t>
  </si>
  <si>
    <r>
      <t>予備機を除く2次ポンプ台数　n</t>
    </r>
    <r>
      <rPr>
        <vertAlign val="subscript"/>
        <sz val="11"/>
        <color theme="1"/>
        <rFont val="游ゴシック"/>
        <family val="3"/>
        <charset val="128"/>
        <scheme val="minor"/>
      </rPr>
      <t>r</t>
    </r>
    <rPh sb="0" eb="3">
      <t>ヨビキ</t>
    </rPh>
    <rPh sb="4" eb="5">
      <t>ノゾ</t>
    </rPh>
    <rPh sb="7" eb="8">
      <t>ジ</t>
    </rPh>
    <rPh sb="11" eb="13">
      <t>ダイスウ</t>
    </rPh>
    <phoneticPr fontId="2"/>
  </si>
  <si>
    <r>
      <t>電動機定格出力(軸動力）SP</t>
    </r>
    <r>
      <rPr>
        <vertAlign val="subscript"/>
        <sz val="11"/>
        <color theme="1"/>
        <rFont val="游ゴシック"/>
        <family val="3"/>
        <charset val="128"/>
        <scheme val="minor"/>
      </rPr>
      <t>r</t>
    </r>
    <rPh sb="0" eb="3">
      <t>デンドウキ</t>
    </rPh>
    <rPh sb="3" eb="5">
      <t>テイカク</t>
    </rPh>
    <rPh sb="5" eb="7">
      <t>シュツリョク</t>
    </rPh>
    <rPh sb="8" eb="11">
      <t>ジクドウリョク</t>
    </rPh>
    <phoneticPr fontId="2"/>
  </si>
  <si>
    <r>
      <t>定格流量M</t>
    </r>
    <r>
      <rPr>
        <vertAlign val="subscript"/>
        <sz val="11"/>
        <color theme="1"/>
        <rFont val="游ゴシック"/>
        <family val="3"/>
        <charset val="128"/>
        <scheme val="minor"/>
      </rPr>
      <t>r</t>
    </r>
    <rPh sb="0" eb="4">
      <t>テイカクリュウリョウ</t>
    </rPh>
    <phoneticPr fontId="2"/>
  </si>
  <si>
    <r>
      <t>定格流量をm</t>
    </r>
    <r>
      <rPr>
        <vertAlign val="superscript"/>
        <sz val="11"/>
        <rFont val="游ゴシック"/>
        <family val="3"/>
        <charset val="128"/>
        <scheme val="minor"/>
      </rPr>
      <t>3</t>
    </r>
    <r>
      <rPr>
        <sz val="11"/>
        <rFont val="游ゴシック"/>
        <family val="3"/>
        <charset val="128"/>
        <scheme val="minor"/>
      </rPr>
      <t>/hに単位変換×ポンプの増段閾値</t>
    </r>
    <rPh sb="0" eb="4">
      <t>テイカクリュウリョウ</t>
    </rPh>
    <rPh sb="10" eb="14">
      <t>タンイヘンカン</t>
    </rPh>
    <rPh sb="19" eb="23">
      <t>ゾウダンシキイチ</t>
    </rPh>
    <phoneticPr fontId="2"/>
  </si>
  <si>
    <r>
      <t>ポンプ増段閾値流量　M</t>
    </r>
    <r>
      <rPr>
        <vertAlign val="subscript"/>
        <sz val="11"/>
        <color theme="1"/>
        <rFont val="游ゴシック"/>
        <family val="3"/>
        <charset val="128"/>
        <scheme val="minor"/>
      </rPr>
      <t>TH</t>
    </r>
    <rPh sb="7" eb="9">
      <t>リュウリョウ</t>
    </rPh>
    <phoneticPr fontId="2"/>
  </si>
  <si>
    <r>
      <t>ポンプ増段閾値　R</t>
    </r>
    <r>
      <rPr>
        <vertAlign val="subscript"/>
        <sz val="11"/>
        <color theme="1"/>
        <rFont val="游ゴシック"/>
        <family val="3"/>
        <charset val="128"/>
        <scheme val="minor"/>
      </rPr>
      <t>TH</t>
    </r>
    <rPh sb="3" eb="5">
      <t>ゾウダン</t>
    </rPh>
    <rPh sb="5" eb="7">
      <t>シキイチ</t>
    </rPh>
    <phoneticPr fontId="2"/>
  </si>
  <si>
    <r>
      <t>ポンプの電動機定格出力合計　SP</t>
    </r>
    <r>
      <rPr>
        <vertAlign val="subscript"/>
        <sz val="11"/>
        <color theme="1"/>
        <rFont val="游ゴシック"/>
        <family val="3"/>
        <charset val="128"/>
        <scheme val="minor"/>
      </rPr>
      <t>r,all</t>
    </r>
    <rPh sb="11" eb="13">
      <t>ゴウケイ</t>
    </rPh>
    <phoneticPr fontId="2"/>
  </si>
  <si>
    <r>
      <t>HZ</t>
    </r>
    <r>
      <rPr>
        <vertAlign val="subscript"/>
        <sz val="11"/>
        <color theme="1"/>
        <rFont val="游ゴシック"/>
        <family val="3"/>
        <charset val="128"/>
        <scheme val="minor"/>
      </rPr>
      <t>pv</t>
    </r>
    <phoneticPr fontId="2"/>
  </si>
  <si>
    <r>
      <t>M</t>
    </r>
    <r>
      <rPr>
        <vertAlign val="subscript"/>
        <sz val="11"/>
        <color theme="1"/>
        <rFont val="游ゴシック"/>
        <family val="3"/>
        <charset val="128"/>
        <scheme val="minor"/>
      </rPr>
      <t>PV,per1</t>
    </r>
    <phoneticPr fontId="2"/>
  </si>
  <si>
    <r>
      <t>R</t>
    </r>
    <r>
      <rPr>
        <vertAlign val="subscript"/>
        <sz val="11"/>
        <color theme="1"/>
        <rFont val="游ゴシック"/>
        <family val="3"/>
        <charset val="128"/>
        <scheme val="minor"/>
      </rPr>
      <t>M,pv,measured</t>
    </r>
    <phoneticPr fontId="2"/>
  </si>
  <si>
    <r>
      <t>M</t>
    </r>
    <r>
      <rPr>
        <vertAlign val="subscript"/>
        <sz val="11"/>
        <color theme="1"/>
        <rFont val="游ゴシック"/>
        <family val="3"/>
        <charset val="128"/>
        <scheme val="minor"/>
      </rPr>
      <t>pv,measured</t>
    </r>
    <phoneticPr fontId="2"/>
  </si>
  <si>
    <r>
      <t>n</t>
    </r>
    <r>
      <rPr>
        <vertAlign val="subscript"/>
        <sz val="11"/>
        <color theme="1"/>
        <rFont val="游ゴシック"/>
        <family val="3"/>
        <charset val="128"/>
        <scheme val="minor"/>
      </rPr>
      <t>measured</t>
    </r>
    <phoneticPr fontId="2"/>
  </si>
  <si>
    <r>
      <t>M</t>
    </r>
    <r>
      <rPr>
        <vertAlign val="subscript"/>
        <sz val="11"/>
        <color theme="1"/>
        <rFont val="游ゴシック"/>
        <family val="3"/>
        <charset val="128"/>
        <scheme val="minor"/>
      </rPr>
      <t>PV,per1,measured</t>
    </r>
    <phoneticPr fontId="2"/>
  </si>
  <si>
    <r>
      <t xml:space="preserve"> dP</t>
    </r>
    <r>
      <rPr>
        <vertAlign val="subscript"/>
        <sz val="11"/>
        <color theme="1"/>
        <rFont val="游ゴシック"/>
        <family val="3"/>
        <charset val="128"/>
        <scheme val="minor"/>
      </rPr>
      <t>total,sp,measured</t>
    </r>
    <phoneticPr fontId="2"/>
  </si>
  <si>
    <r>
      <t xml:space="preserve"> SP</t>
    </r>
    <r>
      <rPr>
        <vertAlign val="subscript"/>
        <sz val="11"/>
        <color theme="1"/>
        <rFont val="游ゴシック"/>
        <family val="3"/>
        <charset val="128"/>
        <scheme val="minor"/>
      </rPr>
      <t>i,per1,measuered</t>
    </r>
    <phoneticPr fontId="2"/>
  </si>
  <si>
    <r>
      <t>SP</t>
    </r>
    <r>
      <rPr>
        <vertAlign val="subscript"/>
        <sz val="11"/>
        <color theme="1"/>
        <rFont val="游ゴシック"/>
        <family val="3"/>
        <charset val="128"/>
        <scheme val="minor"/>
      </rPr>
      <t>i,all,measured</t>
    </r>
    <phoneticPr fontId="2"/>
  </si>
  <si>
    <r>
      <t>R</t>
    </r>
    <r>
      <rPr>
        <vertAlign val="subscript"/>
        <sz val="11"/>
        <color theme="1"/>
        <rFont val="游ゴシック"/>
        <family val="3"/>
        <charset val="128"/>
        <scheme val="minor"/>
      </rPr>
      <t>SPi,all,measured</t>
    </r>
    <phoneticPr fontId="2"/>
  </si>
  <si>
    <r>
      <t>R</t>
    </r>
    <r>
      <rPr>
        <vertAlign val="subscript"/>
        <sz val="11"/>
        <rFont val="游ゴシック"/>
        <family val="3"/>
        <charset val="128"/>
        <scheme val="minor"/>
      </rPr>
      <t>M,pv,measured</t>
    </r>
    <phoneticPr fontId="2"/>
  </si>
  <si>
    <t>3次式係数計算過程</t>
    <rPh sb="1" eb="3">
      <t>ジシキ</t>
    </rPh>
    <rPh sb="3" eb="9">
      <t>ケイスウケイサンカテイ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</si>
</sst>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
    <numFmt numFmtId="177" formatCode="0.0_);[Red]\(0.0\)"/>
    <numFmt numFmtId="178" formatCode="0.00_);[Red]\(0.00\)"/>
    <numFmt numFmtId="179" formatCode="#,##0.0;[Red]\-#,##0.0"/>
    <numFmt numFmtId="180" formatCode="0.0000"/>
    <numFmt numFmtId="181" formatCode="0.000000000"/>
    <numFmt numFmtId="182" formatCode="[$]ggge&quot;年&quot;m&quot;月&quot;d&quot;日&quot;;@" x16r2:formatCode16="[$-ja-JP-x-gannen]ggge&quot;年&quot;m&quot;月&quot;d&quot;日&quot;;@"/>
    <numFmt numFmtId="183" formatCode="#,##0.000000000000000_ ;[Red]\-#,##0.000000000000000\ "/>
  </numFmts>
  <fonts count="5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sz val="9"/>
      <color theme="1"/>
      <name val="游ゴシック"/>
      <family val="3"/>
      <charset val="128"/>
      <scheme val="minor"/>
    </font>
    <font>
      <sz val="9"/>
      <color rgb="FFFF0000"/>
      <name val="游ゴシック"/>
      <family val="2"/>
      <charset val="128"/>
      <scheme val="minor"/>
    </font>
    <font>
      <sz val="8"/>
      <color theme="1"/>
      <name val="游ゴシック"/>
      <family val="3"/>
      <charset val="128"/>
      <scheme val="minor"/>
    </font>
    <font>
      <b/>
      <sz val="9"/>
      <color theme="1"/>
      <name val="游ゴシック"/>
      <family val="3"/>
      <charset val="128"/>
      <scheme val="minor"/>
    </font>
    <font>
      <sz val="8"/>
      <color theme="1"/>
      <name val="游ゴシック"/>
      <family val="2"/>
      <charset val="128"/>
      <scheme val="minor"/>
    </font>
    <font>
      <b/>
      <sz val="9"/>
      <color theme="0"/>
      <name val="游ゴシック"/>
      <family val="3"/>
      <charset val="128"/>
      <scheme val="minor"/>
    </font>
    <font>
      <b/>
      <sz val="8"/>
      <color theme="1"/>
      <name val="游ゴシック"/>
      <family val="3"/>
      <charset val="128"/>
      <scheme val="minor"/>
    </font>
    <font>
      <sz val="8"/>
      <color rgb="FFFF0000"/>
      <name val="游ゴシック"/>
      <family val="3"/>
      <charset val="128"/>
      <scheme val="minor"/>
    </font>
    <font>
      <b/>
      <sz val="8"/>
      <color rgb="FFFF0000"/>
      <name val="游ゴシック"/>
      <family val="3"/>
      <charset val="128"/>
      <scheme val="minor"/>
    </font>
    <font>
      <sz val="9"/>
      <color indexed="81"/>
      <name val="MS P ゴシック"/>
      <family val="3"/>
      <charset val="128"/>
    </font>
    <font>
      <sz val="8"/>
      <name val="游ゴシック"/>
      <family val="3"/>
      <charset val="128"/>
      <scheme val="minor"/>
    </font>
    <font>
      <sz val="9"/>
      <color rgb="FFFF0000"/>
      <name val="游ゴシック"/>
      <family val="3"/>
      <charset val="128"/>
      <scheme val="minor"/>
    </font>
    <font>
      <sz val="11"/>
      <color theme="1"/>
      <name val="游ゴシック"/>
      <family val="2"/>
      <scheme val="minor"/>
    </font>
    <font>
      <sz val="6"/>
      <name val="游ゴシック"/>
      <family val="3"/>
      <charset val="128"/>
      <scheme val="minor"/>
    </font>
    <font>
      <sz val="18"/>
      <color theme="1"/>
      <name val="游ゴシック"/>
      <family val="2"/>
      <scheme val="minor"/>
    </font>
    <font>
      <vertAlign val="superscript"/>
      <sz val="11"/>
      <color theme="1"/>
      <name val="游ゴシック"/>
      <family val="3"/>
      <charset val="128"/>
      <scheme val="minor"/>
    </font>
    <font>
      <i/>
      <sz val="11"/>
      <color theme="1"/>
      <name val="游ゴシック"/>
      <family val="3"/>
      <charset val="128"/>
      <scheme val="minor"/>
    </font>
    <font>
      <vertAlign val="subscript"/>
      <sz val="11"/>
      <color theme="1"/>
      <name val="游ゴシック"/>
      <family val="3"/>
      <charset val="128"/>
      <scheme val="minor"/>
    </font>
    <font>
      <u/>
      <sz val="11"/>
      <color theme="10"/>
      <name val="游ゴシック"/>
      <family val="2"/>
      <charset val="128"/>
      <scheme val="minor"/>
    </font>
    <font>
      <b/>
      <sz val="11"/>
      <color rgb="FFFF0000"/>
      <name val="游ゴシック"/>
      <family val="3"/>
      <charset val="128"/>
      <scheme val="minor"/>
    </font>
    <font>
      <sz val="11"/>
      <color rgb="FFFF0000"/>
      <name val="游ゴシック"/>
      <family val="3"/>
      <charset val="128"/>
      <scheme val="minor"/>
    </font>
    <font>
      <b/>
      <sz val="8"/>
      <name val="游ゴシック"/>
      <family val="3"/>
      <charset val="128"/>
      <scheme val="minor"/>
    </font>
    <font>
      <sz val="11"/>
      <color theme="1"/>
      <name val="游ゴシック"/>
      <family val="3"/>
      <charset val="128"/>
      <scheme val="minor"/>
    </font>
    <font>
      <sz val="18"/>
      <color theme="1"/>
      <name val="游ゴシック"/>
      <family val="2"/>
      <charset val="128"/>
      <scheme val="minor"/>
    </font>
    <font>
      <b/>
      <u/>
      <sz val="11"/>
      <color theme="1"/>
      <name val="游ゴシック"/>
      <family val="3"/>
      <charset val="128"/>
      <scheme val="minor"/>
    </font>
    <font>
      <b/>
      <sz val="11"/>
      <color theme="1"/>
      <name val="游ゴシック"/>
      <family val="3"/>
      <charset val="128"/>
      <scheme val="minor"/>
    </font>
    <font>
      <b/>
      <sz val="11"/>
      <color indexed="8"/>
      <name val="游ゴシック"/>
      <family val="3"/>
      <charset val="128"/>
      <scheme val="minor"/>
    </font>
    <font>
      <sz val="11"/>
      <name val="游ゴシック"/>
      <family val="3"/>
      <charset val="128"/>
      <scheme val="minor"/>
    </font>
    <font>
      <sz val="11"/>
      <color theme="0"/>
      <name val="游ゴシック"/>
      <family val="2"/>
      <charset val="128"/>
      <scheme val="minor"/>
    </font>
    <font>
      <sz val="11"/>
      <color theme="0"/>
      <name val="游ゴシック"/>
      <family val="3"/>
      <charset val="128"/>
      <scheme val="minor"/>
    </font>
    <font>
      <b/>
      <sz val="11"/>
      <color theme="0"/>
      <name val="游ゴシック"/>
      <family val="3"/>
      <charset val="128"/>
      <scheme val="minor"/>
    </font>
    <font>
      <b/>
      <sz val="18"/>
      <color theme="0"/>
      <name val="游ゴシック"/>
      <family val="3"/>
      <charset val="128"/>
      <scheme val="minor"/>
    </font>
    <font>
      <u/>
      <sz val="11"/>
      <color theme="1"/>
      <name val="游ゴシック"/>
      <family val="3"/>
      <charset val="128"/>
      <scheme val="minor"/>
    </font>
    <font>
      <sz val="11"/>
      <color rgb="FFFF0000"/>
      <name val="游ゴシック"/>
      <family val="2"/>
      <charset val="128"/>
      <scheme val="minor"/>
    </font>
    <font>
      <sz val="11"/>
      <name val="游ゴシック"/>
      <family val="2"/>
      <charset val="128"/>
      <scheme val="minor"/>
    </font>
    <font>
      <sz val="6"/>
      <color theme="1"/>
      <name val="游ゴシック"/>
      <family val="3"/>
      <charset val="128"/>
      <scheme val="minor"/>
    </font>
    <font>
      <sz val="7"/>
      <color theme="1"/>
      <name val="游ゴシック"/>
      <family val="3"/>
      <charset val="128"/>
      <scheme val="minor"/>
    </font>
    <font>
      <sz val="9"/>
      <name val="游ゴシック"/>
      <family val="3"/>
      <charset val="128"/>
      <scheme val="minor"/>
    </font>
    <font>
      <vertAlign val="superscript"/>
      <sz val="9"/>
      <color theme="1"/>
      <name val="游ゴシック"/>
      <family val="3"/>
      <charset val="128"/>
      <scheme val="minor"/>
    </font>
    <font>
      <sz val="10"/>
      <color theme="1"/>
      <name val="游ゴシック"/>
      <family val="3"/>
      <charset val="128"/>
      <scheme val="minor"/>
    </font>
    <font>
      <b/>
      <sz val="10"/>
      <color theme="0"/>
      <name val="游ゴシック"/>
      <family val="3"/>
      <charset val="128"/>
      <scheme val="minor"/>
    </font>
    <font>
      <sz val="16"/>
      <color theme="1"/>
      <name val="游ゴシック"/>
      <family val="3"/>
      <charset val="128"/>
      <scheme val="minor"/>
    </font>
    <font>
      <b/>
      <u/>
      <sz val="11"/>
      <color theme="10"/>
      <name val="游ゴシック"/>
      <family val="3"/>
      <charset val="128"/>
      <scheme val="minor"/>
    </font>
    <font>
      <b/>
      <sz val="18"/>
      <name val="游ゴシック"/>
      <family val="3"/>
      <charset val="128"/>
      <scheme val="minor"/>
    </font>
    <font>
      <sz val="11"/>
      <color theme="1"/>
      <name val="游明朝"/>
      <family val="1"/>
      <charset val="128"/>
    </font>
    <font>
      <vertAlign val="superscript"/>
      <sz val="11"/>
      <name val="游ゴシック"/>
      <family val="3"/>
      <charset val="128"/>
      <scheme val="minor"/>
    </font>
    <font>
      <vertAlign val="subscript"/>
      <sz val="11"/>
      <name val="游ゴシック"/>
      <family val="3"/>
      <charset val="128"/>
      <scheme val="minor"/>
    </font>
  </fonts>
  <fills count="2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5"/>
        <bgColor indexed="64"/>
      </patternFill>
    </fill>
    <fill>
      <patternFill patternType="solid">
        <fgColor rgb="FF0070C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7"/>
        <bgColor indexed="64"/>
      </patternFill>
    </fill>
    <fill>
      <patternFill patternType="solid">
        <fgColor rgb="FFFFC000"/>
        <bgColor indexed="64"/>
      </patternFill>
    </fill>
    <fill>
      <patternFill patternType="solid">
        <fgColor rgb="FF92D050"/>
        <bgColor indexed="64"/>
      </patternFill>
    </fill>
    <fill>
      <patternFill patternType="solid">
        <fgColor theme="0" tint="-0.49998474074526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theme="1"/>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theme="1"/>
      </left>
      <right style="thin">
        <color indexed="64"/>
      </right>
      <top style="thin">
        <color indexed="64"/>
      </top>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6">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6" fillId="0" borderId="0"/>
    <xf numFmtId="9" fontId="16" fillId="0" borderId="0" applyFont="0" applyFill="0" applyBorder="0" applyAlignment="0" applyProtection="0">
      <alignment vertical="center"/>
    </xf>
    <xf numFmtId="0" fontId="22" fillId="0" borderId="0" applyNumberFormat="0" applyFill="0" applyBorder="0" applyAlignment="0" applyProtection="0">
      <alignment vertical="center"/>
    </xf>
  </cellStyleXfs>
  <cellXfs count="405">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5" fillId="0" borderId="0" xfId="0" applyFont="1">
      <alignment vertical="center"/>
    </xf>
    <xf numFmtId="0" fontId="3" fillId="0" borderId="1" xfId="0" applyFont="1" applyBorder="1" applyAlignment="1">
      <alignment horizontal="center" vertical="center"/>
    </xf>
    <xf numFmtId="0" fontId="7" fillId="0" borderId="0" xfId="0" applyFont="1" applyAlignment="1">
      <alignment horizontal="left" vertical="center"/>
    </xf>
    <xf numFmtId="0" fontId="7" fillId="0" borderId="5" xfId="0" applyFont="1" applyBorder="1" applyAlignment="1">
      <alignment horizontal="left" vertical="center"/>
    </xf>
    <xf numFmtId="0" fontId="7" fillId="0" borderId="0" xfId="0" applyFont="1">
      <alignment vertical="center"/>
    </xf>
    <xf numFmtId="0" fontId="6" fillId="0" borderId="0" xfId="0" applyFont="1">
      <alignment vertical="center"/>
    </xf>
    <xf numFmtId="0" fontId="10" fillId="0" borderId="0" xfId="0" applyFont="1">
      <alignment vertical="center"/>
    </xf>
    <xf numFmtId="0" fontId="6" fillId="0" borderId="0" xfId="0" applyFont="1" applyAlignment="1">
      <alignment horizontal="center" vertical="center"/>
    </xf>
    <xf numFmtId="0" fontId="6" fillId="0" borderId="3" xfId="0" applyFont="1" applyBorder="1" applyAlignment="1">
      <alignment horizontal="center" vertical="center"/>
    </xf>
    <xf numFmtId="0" fontId="4" fillId="0" borderId="0" xfId="0" applyFont="1">
      <alignment vertical="center"/>
    </xf>
    <xf numFmtId="38" fontId="4" fillId="3" borderId="1" xfId="1" applyFont="1" applyFill="1" applyBorder="1" applyAlignment="1">
      <alignment horizontal="center" vertical="center"/>
    </xf>
    <xf numFmtId="177" fontId="3" fillId="7" borderId="1" xfId="0" applyNumberFormat="1" applyFont="1" applyFill="1" applyBorder="1">
      <alignment vertical="center"/>
    </xf>
    <xf numFmtId="0" fontId="6" fillId="0" borderId="4" xfId="0" applyFont="1" applyBorder="1" applyAlignment="1">
      <alignment horizontal="left" vertical="center"/>
    </xf>
    <xf numFmtId="0" fontId="6" fillId="0" borderId="4" xfId="0" applyFont="1" applyBorder="1">
      <alignment vertical="center"/>
    </xf>
    <xf numFmtId="0" fontId="8" fillId="0" borderId="4" xfId="0" applyFont="1" applyBorder="1">
      <alignment vertical="center"/>
    </xf>
    <xf numFmtId="0" fontId="3" fillId="0" borderId="1" xfId="0" applyFont="1" applyBorder="1">
      <alignment vertical="center"/>
    </xf>
    <xf numFmtId="0" fontId="12" fillId="0" borderId="0" xfId="0" applyFont="1">
      <alignment vertical="center"/>
    </xf>
    <xf numFmtId="0" fontId="3" fillId="2" borderId="1" xfId="0" applyFont="1" applyFill="1" applyBorder="1">
      <alignment vertical="center"/>
    </xf>
    <xf numFmtId="0" fontId="3" fillId="0" borderId="4" xfId="0" applyFont="1" applyBorder="1">
      <alignment vertical="center"/>
    </xf>
    <xf numFmtId="0" fontId="10" fillId="0" borderId="4" xfId="0" applyFont="1" applyBorder="1">
      <alignment vertical="center"/>
    </xf>
    <xf numFmtId="0" fontId="6" fillId="0" borderId="4" xfId="0" applyFont="1" applyBorder="1" applyAlignment="1">
      <alignment horizontal="center" vertical="center"/>
    </xf>
    <xf numFmtId="0" fontId="7" fillId="0" borderId="4" xfId="0" applyFont="1" applyBorder="1">
      <alignment vertical="center"/>
    </xf>
    <xf numFmtId="0" fontId="15" fillId="0" borderId="0" xfId="0" applyFont="1">
      <alignment vertical="center"/>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5" xfId="0" applyBorder="1" applyAlignment="1">
      <alignment horizontal="center" vertical="center"/>
    </xf>
    <xf numFmtId="0" fontId="0" fillId="4" borderId="0" xfId="0" applyFill="1">
      <alignment vertical="center"/>
    </xf>
    <xf numFmtId="0" fontId="16" fillId="0" borderId="0" xfId="3"/>
    <xf numFmtId="0" fontId="16" fillId="10" borderId="0" xfId="3" applyFill="1"/>
    <xf numFmtId="0" fontId="16" fillId="0" borderId="0" xfId="3" applyAlignment="1">
      <alignment horizontal="right"/>
    </xf>
    <xf numFmtId="0" fontId="16" fillId="0" borderId="11" xfId="3" applyBorder="1" applyAlignment="1">
      <alignment horizontal="right"/>
    </xf>
    <xf numFmtId="0" fontId="16" fillId="0" borderId="5" xfId="3" applyBorder="1" applyAlignment="1">
      <alignment horizontal="center" wrapText="1"/>
    </xf>
    <xf numFmtId="0" fontId="16" fillId="0" borderId="5" xfId="3" applyBorder="1" applyAlignment="1">
      <alignment horizontal="center"/>
    </xf>
    <xf numFmtId="0" fontId="16" fillId="0" borderId="0" xfId="3" applyAlignment="1">
      <alignment horizontal="center"/>
    </xf>
    <xf numFmtId="0" fontId="16" fillId="0" borderId="0" xfId="3" applyAlignment="1">
      <alignment horizontal="center" shrinkToFit="1"/>
    </xf>
    <xf numFmtId="0" fontId="16" fillId="8" borderId="5" xfId="3" applyFill="1" applyBorder="1"/>
    <xf numFmtId="0" fontId="16" fillId="8" borderId="0" xfId="3" applyFill="1"/>
    <xf numFmtId="0" fontId="18" fillId="8" borderId="0" xfId="3" applyFont="1" applyFill="1"/>
    <xf numFmtId="0" fontId="16" fillId="0" borderId="0" xfId="3" applyAlignment="1">
      <alignment wrapText="1"/>
    </xf>
    <xf numFmtId="10" fontId="0" fillId="0" borderId="0" xfId="4" applyNumberFormat="1" applyFont="1" applyAlignment="1"/>
    <xf numFmtId="0" fontId="16" fillId="0" borderId="6" xfId="3" applyBorder="1"/>
    <xf numFmtId="0" fontId="20" fillId="0" borderId="0" xfId="3" applyFont="1" applyAlignment="1">
      <alignment horizontal="left" vertical="center" indent="1"/>
    </xf>
    <xf numFmtId="0" fontId="16" fillId="0" borderId="12" xfId="3" applyBorder="1" applyAlignment="1">
      <alignment horizontal="center" wrapText="1"/>
    </xf>
    <xf numFmtId="0" fontId="16" fillId="0" borderId="0" xfId="3" applyAlignment="1">
      <alignment horizontal="center" wrapText="1"/>
    </xf>
    <xf numFmtId="0" fontId="16" fillId="0" borderId="5" xfId="3" applyBorder="1" applyAlignment="1">
      <alignment horizontal="center" vertical="center"/>
    </xf>
    <xf numFmtId="0" fontId="16" fillId="0" borderId="5" xfId="3" applyBorder="1"/>
    <xf numFmtId="0" fontId="16" fillId="0" borderId="5" xfId="3" quotePrefix="1" applyBorder="1" applyAlignment="1">
      <alignment horizontal="center" wrapText="1"/>
    </xf>
    <xf numFmtId="0" fontId="22" fillId="0" borderId="0" xfId="5">
      <alignment vertical="center"/>
    </xf>
    <xf numFmtId="0" fontId="23" fillId="0" borderId="0" xfId="0" applyFont="1">
      <alignment vertical="center"/>
    </xf>
    <xf numFmtId="0" fontId="16" fillId="11" borderId="0" xfId="3" applyFill="1"/>
    <xf numFmtId="0" fontId="14" fillId="0" borderId="0" xfId="0" applyFont="1">
      <alignment vertical="center"/>
    </xf>
    <xf numFmtId="0" fontId="14" fillId="0" borderId="0" xfId="0" applyFont="1" applyAlignment="1">
      <alignment horizontal="center" vertical="center"/>
    </xf>
    <xf numFmtId="0" fontId="25" fillId="0" borderId="0" xfId="0" applyFont="1" applyAlignment="1">
      <alignment horizontal="center" vertical="center"/>
    </xf>
    <xf numFmtId="38" fontId="4" fillId="9" borderId="1" xfId="1" applyFont="1" applyFill="1" applyBorder="1" applyAlignment="1">
      <alignment horizontal="center" vertical="center"/>
    </xf>
    <xf numFmtId="0" fontId="11" fillId="0" borderId="0" xfId="0" applyFont="1">
      <alignment vertical="center"/>
    </xf>
    <xf numFmtId="0" fontId="26" fillId="0" borderId="0" xfId="0" applyFont="1">
      <alignment vertical="center"/>
    </xf>
    <xf numFmtId="0" fontId="0" fillId="12" borderId="1" xfId="0" applyFill="1" applyBorder="1" applyAlignment="1">
      <alignment horizontal="right" vertical="center"/>
    </xf>
    <xf numFmtId="0" fontId="0" fillId="12" borderId="8" xfId="0" applyFill="1" applyBorder="1" applyAlignment="1">
      <alignment horizontal="center" vertical="center"/>
    </xf>
    <xf numFmtId="0" fontId="0" fillId="12" borderId="15" xfId="0" applyFill="1" applyBorder="1" applyAlignment="1">
      <alignment horizontal="center" vertical="center"/>
    </xf>
    <xf numFmtId="0" fontId="0" fillId="12" borderId="7" xfId="0" applyFill="1" applyBorder="1" applyAlignment="1">
      <alignment horizontal="center" vertical="center"/>
    </xf>
    <xf numFmtId="0" fontId="0" fillId="13" borderId="8" xfId="0" applyFill="1" applyBorder="1">
      <alignment vertical="center"/>
    </xf>
    <xf numFmtId="0" fontId="0" fillId="13" borderId="15" xfId="0" applyFill="1" applyBorder="1">
      <alignment vertical="center"/>
    </xf>
    <xf numFmtId="0" fontId="0" fillId="13" borderId="7" xfId="0" applyFill="1" applyBorder="1">
      <alignment vertical="center"/>
    </xf>
    <xf numFmtId="0" fontId="0" fillId="0" borderId="0" xfId="0" applyAlignment="1">
      <alignment horizontal="center" vertical="center" shrinkToFit="1"/>
    </xf>
    <xf numFmtId="0" fontId="26" fillId="0" borderId="0" xfId="0" applyFont="1" applyAlignment="1">
      <alignment horizontal="right" vertical="center"/>
    </xf>
    <xf numFmtId="0" fontId="0" fillId="10" borderId="5" xfId="0" applyFill="1" applyBorder="1">
      <alignment vertical="center"/>
    </xf>
    <xf numFmtId="0" fontId="28" fillId="0" borderId="0" xfId="0" applyFont="1">
      <alignment vertical="center"/>
    </xf>
    <xf numFmtId="0" fontId="0" fillId="10" borderId="0" xfId="0" applyFill="1">
      <alignment vertical="center"/>
    </xf>
    <xf numFmtId="0" fontId="27" fillId="10" borderId="0" xfId="0" applyFont="1" applyFill="1">
      <alignment vertical="center"/>
    </xf>
    <xf numFmtId="0" fontId="29" fillId="10" borderId="0" xfId="0" applyFont="1" applyFill="1">
      <alignment vertical="center"/>
    </xf>
    <xf numFmtId="0" fontId="30" fillId="10" borderId="0" xfId="0" applyFont="1" applyFill="1">
      <alignment vertical="center"/>
    </xf>
    <xf numFmtId="0" fontId="0" fillId="0" borderId="0" xfId="0" applyAlignment="1">
      <alignment horizontal="right" vertical="center"/>
    </xf>
    <xf numFmtId="0" fontId="0" fillId="0" borderId="5" xfId="0" applyBorder="1">
      <alignment vertical="center"/>
    </xf>
    <xf numFmtId="0" fontId="26" fillId="0" borderId="1" xfId="0" applyFont="1" applyBorder="1" applyAlignment="1">
      <alignment horizontal="center" vertical="center"/>
    </xf>
    <xf numFmtId="0" fontId="0" fillId="14" borderId="0" xfId="0" applyFill="1">
      <alignment vertical="center"/>
    </xf>
    <xf numFmtId="0" fontId="27" fillId="14" borderId="0" xfId="0" applyFont="1" applyFill="1">
      <alignment vertical="center"/>
    </xf>
    <xf numFmtId="0" fontId="0" fillId="14" borderId="5" xfId="0" applyFill="1" applyBorder="1">
      <alignment vertical="center"/>
    </xf>
    <xf numFmtId="0" fontId="0" fillId="15" borderId="0" xfId="0" applyFill="1">
      <alignment vertical="center"/>
    </xf>
    <xf numFmtId="0" fontId="27" fillId="15" borderId="0" xfId="0" applyFont="1" applyFill="1">
      <alignment vertical="center"/>
    </xf>
    <xf numFmtId="0" fontId="0" fillId="15" borderId="5" xfId="0" applyFill="1" applyBorder="1">
      <alignment vertical="center"/>
    </xf>
    <xf numFmtId="0" fontId="26" fillId="10" borderId="1" xfId="2" applyNumberFormat="1" applyFont="1" applyFill="1" applyBorder="1" applyAlignment="1" applyProtection="1">
      <alignment vertical="center"/>
      <protection locked="0"/>
    </xf>
    <xf numFmtId="0" fontId="31" fillId="10" borderId="1" xfId="2" applyNumberFormat="1" applyFont="1" applyFill="1" applyBorder="1" applyAlignment="1" applyProtection="1">
      <alignment vertical="center"/>
      <protection locked="0"/>
    </xf>
    <xf numFmtId="176" fontId="26" fillId="10" borderId="1" xfId="0" applyNumberFormat="1" applyFont="1" applyFill="1" applyBorder="1" applyProtection="1">
      <alignment vertical="center"/>
      <protection locked="0"/>
    </xf>
    <xf numFmtId="1" fontId="26" fillId="10" borderId="1" xfId="0" applyNumberFormat="1" applyFont="1" applyFill="1" applyBorder="1" applyProtection="1">
      <alignment vertical="center"/>
      <protection locked="0"/>
    </xf>
    <xf numFmtId="0" fontId="26" fillId="10" borderId="1" xfId="0" applyFont="1" applyFill="1" applyBorder="1" applyProtection="1">
      <alignment vertical="center"/>
      <protection locked="0"/>
    </xf>
    <xf numFmtId="0" fontId="26" fillId="10" borderId="1" xfId="0" applyFont="1" applyFill="1" applyBorder="1" applyAlignment="1" applyProtection="1">
      <alignment horizontal="center" vertical="center"/>
      <protection locked="0"/>
    </xf>
    <xf numFmtId="0" fontId="0" fillId="10" borderId="10" xfId="0" applyFill="1" applyBorder="1" applyAlignment="1" applyProtection="1">
      <alignment vertical="center" shrinkToFit="1"/>
      <protection locked="0"/>
    </xf>
    <xf numFmtId="0" fontId="0" fillId="10" borderId="9" xfId="0" applyFill="1" applyBorder="1" applyAlignment="1" applyProtection="1">
      <alignment vertical="center" shrinkToFit="1"/>
      <protection locked="0"/>
    </xf>
    <xf numFmtId="0" fontId="0" fillId="10" borderId="13" xfId="0" applyFill="1" applyBorder="1" applyAlignment="1" applyProtection="1">
      <alignment vertical="center" shrinkToFit="1"/>
      <protection locked="0"/>
    </xf>
    <xf numFmtId="0" fontId="26" fillId="10" borderId="8" xfId="0" applyFont="1" applyFill="1" applyBorder="1" applyAlignment="1" applyProtection="1">
      <alignment horizontal="center" vertical="center"/>
      <protection locked="0"/>
    </xf>
    <xf numFmtId="0" fontId="26" fillId="0" borderId="0" xfId="0" applyFont="1" applyAlignment="1">
      <alignment horizontal="left" vertical="center"/>
    </xf>
    <xf numFmtId="0" fontId="31" fillId="0" borderId="0" xfId="0" applyFont="1" applyAlignment="1">
      <alignment horizontal="left" vertical="center"/>
    </xf>
    <xf numFmtId="0" fontId="26" fillId="0" borderId="0" xfId="0" applyFont="1" applyAlignment="1">
      <alignment horizontal="center" vertical="center"/>
    </xf>
    <xf numFmtId="0" fontId="26" fillId="0" borderId="1" xfId="0" applyFont="1" applyBorder="1">
      <alignment vertical="center"/>
    </xf>
    <xf numFmtId="1" fontId="26" fillId="0" borderId="1" xfId="0" applyNumberFormat="1" applyFont="1" applyBorder="1">
      <alignment vertical="center"/>
    </xf>
    <xf numFmtId="176" fontId="26" fillId="0" borderId="1" xfId="0" applyNumberFormat="1" applyFont="1" applyBorder="1">
      <alignment vertical="center"/>
    </xf>
    <xf numFmtId="180" fontId="26" fillId="0" borderId="7" xfId="0" applyNumberFormat="1" applyFont="1" applyBorder="1" applyAlignment="1">
      <alignment horizontal="center" vertical="center"/>
    </xf>
    <xf numFmtId="177" fontId="26" fillId="0" borderId="1" xfId="0" applyNumberFormat="1" applyFont="1" applyBorder="1">
      <alignment vertical="center"/>
    </xf>
    <xf numFmtId="2" fontId="26" fillId="0" borderId="1" xfId="0" applyNumberFormat="1" applyFont="1" applyBorder="1" applyAlignment="1">
      <alignment horizontal="right" vertical="center"/>
    </xf>
    <xf numFmtId="1" fontId="26" fillId="0" borderId="2" xfId="0" applyNumberFormat="1" applyFont="1" applyBorder="1" applyAlignment="1">
      <alignment horizontal="right" vertical="center"/>
    </xf>
    <xf numFmtId="176" fontId="26" fillId="0" borderId="1" xfId="0" applyNumberFormat="1" applyFont="1" applyBorder="1" applyAlignment="1">
      <alignment horizontal="right" vertical="center"/>
    </xf>
    <xf numFmtId="179" fontId="26" fillId="0" borderId="3" xfId="1" applyNumberFormat="1" applyFont="1" applyFill="1" applyBorder="1">
      <alignment vertical="center"/>
    </xf>
    <xf numFmtId="40" fontId="26" fillId="0" borderId="3" xfId="1" applyNumberFormat="1" applyFont="1" applyFill="1" applyBorder="1">
      <alignment vertical="center"/>
    </xf>
    <xf numFmtId="0" fontId="26" fillId="2" borderId="1" xfId="0" applyFont="1" applyFill="1" applyBorder="1" applyAlignment="1">
      <alignment horizontal="center" vertical="center"/>
    </xf>
    <xf numFmtId="0" fontId="26" fillId="2" borderId="2" xfId="0" applyFont="1" applyFill="1" applyBorder="1" applyAlignment="1">
      <alignment horizontal="center" vertical="center"/>
    </xf>
    <xf numFmtId="0" fontId="26" fillId="2" borderId="3" xfId="0" applyFont="1" applyFill="1" applyBorder="1" applyAlignment="1">
      <alignment horizontal="center" vertical="center"/>
    </xf>
    <xf numFmtId="38" fontId="26" fillId="0" borderId="1" xfId="1" applyFont="1" applyFill="1" applyBorder="1" applyAlignment="1">
      <alignment horizontal="center" vertical="center"/>
    </xf>
    <xf numFmtId="176" fontId="26" fillId="0" borderId="1" xfId="0" applyNumberFormat="1" applyFont="1" applyBorder="1" applyAlignment="1">
      <alignment horizontal="center" vertical="center"/>
    </xf>
    <xf numFmtId="0" fontId="26" fillId="14" borderId="1" xfId="0" applyFont="1" applyFill="1" applyBorder="1" applyAlignment="1">
      <alignment horizontal="right" vertical="center"/>
    </xf>
    <xf numFmtId="181" fontId="26" fillId="0" borderId="1" xfId="0" applyNumberFormat="1" applyFont="1" applyBorder="1">
      <alignment vertical="center"/>
    </xf>
    <xf numFmtId="0" fontId="26" fillId="14" borderId="8" xfId="0" applyFont="1" applyFill="1" applyBorder="1" applyAlignment="1">
      <alignment horizontal="center" vertical="center"/>
    </xf>
    <xf numFmtId="0" fontId="26" fillId="14" borderId="7" xfId="0" applyFont="1" applyFill="1" applyBorder="1" applyAlignment="1">
      <alignment horizontal="center" vertical="center"/>
    </xf>
    <xf numFmtId="0" fontId="26" fillId="14" borderId="8" xfId="0" applyFont="1" applyFill="1" applyBorder="1">
      <alignment vertical="center"/>
    </xf>
    <xf numFmtId="0" fontId="26" fillId="14" borderId="15" xfId="0" applyFont="1" applyFill="1" applyBorder="1">
      <alignment vertical="center"/>
    </xf>
    <xf numFmtId="0" fontId="26" fillId="14" borderId="7" xfId="0" applyFont="1" applyFill="1" applyBorder="1">
      <alignment vertical="center"/>
    </xf>
    <xf numFmtId="0" fontId="26" fillId="14" borderId="8" xfId="0" applyFont="1" applyFill="1" applyBorder="1" applyAlignment="1">
      <alignment horizontal="center" vertical="center" wrapText="1"/>
    </xf>
    <xf numFmtId="0" fontId="26" fillId="14" borderId="10" xfId="0" applyFont="1" applyFill="1" applyBorder="1" applyAlignment="1">
      <alignment horizontal="center" vertical="center" wrapText="1"/>
    </xf>
    <xf numFmtId="0" fontId="26" fillId="14" borderId="13" xfId="0" applyFont="1" applyFill="1" applyBorder="1" applyAlignment="1">
      <alignment horizontal="center" vertical="center" wrapText="1"/>
    </xf>
    <xf numFmtId="0" fontId="26" fillId="14" borderId="15" xfId="0" applyFont="1" applyFill="1" applyBorder="1" applyAlignment="1">
      <alignment horizontal="center" vertical="center"/>
    </xf>
    <xf numFmtId="0" fontId="26" fillId="14" borderId="15" xfId="0" applyFont="1" applyFill="1" applyBorder="1" applyAlignment="1">
      <alignment horizontal="center" vertical="center" wrapText="1"/>
    </xf>
    <xf numFmtId="0" fontId="0" fillId="0" borderId="6" xfId="0" applyBorder="1">
      <alignment vertical="center"/>
    </xf>
    <xf numFmtId="0" fontId="0" fillId="0" borderId="12" xfId="0" applyBorder="1">
      <alignment vertical="center"/>
    </xf>
    <xf numFmtId="0" fontId="36" fillId="0" borderId="0" xfId="0" applyFont="1">
      <alignment vertical="center"/>
    </xf>
    <xf numFmtId="181" fontId="31" fillId="14" borderId="0" xfId="0" applyNumberFormat="1" applyFont="1" applyFill="1">
      <alignment vertical="center"/>
    </xf>
    <xf numFmtId="0" fontId="26" fillId="14" borderId="12" xfId="0" applyFont="1" applyFill="1" applyBorder="1" applyAlignment="1">
      <alignment horizontal="center" vertical="center"/>
    </xf>
    <xf numFmtId="0" fontId="26" fillId="14" borderId="14" xfId="0" applyFont="1" applyFill="1" applyBorder="1" applyAlignment="1">
      <alignment horizontal="center" vertical="center"/>
    </xf>
    <xf numFmtId="0" fontId="24" fillId="0" borderId="0" xfId="0" applyFont="1" applyAlignment="1">
      <alignment horizontal="left" vertical="center"/>
    </xf>
    <xf numFmtId="0" fontId="16" fillId="0" borderId="10" xfId="3" applyBorder="1" applyAlignment="1">
      <alignment vertical="center"/>
    </xf>
    <xf numFmtId="0" fontId="16" fillId="0" borderId="6" xfId="3" applyBorder="1" applyAlignment="1">
      <alignment vertical="center"/>
    </xf>
    <xf numFmtId="0" fontId="16" fillId="0" borderId="0" xfId="3" applyAlignment="1">
      <alignment vertical="center"/>
    </xf>
    <xf numFmtId="0" fontId="16" fillId="0" borderId="0" xfId="3" applyAlignment="1">
      <alignment horizontal="center" vertical="center"/>
    </xf>
    <xf numFmtId="0" fontId="37" fillId="0" borderId="0" xfId="0" applyFont="1">
      <alignment vertical="center"/>
    </xf>
    <xf numFmtId="0" fontId="0" fillId="10" borderId="6" xfId="0" applyFill="1" applyBorder="1" applyProtection="1">
      <alignment vertical="center"/>
      <protection locked="0"/>
    </xf>
    <xf numFmtId="0" fontId="0" fillId="10" borderId="0" xfId="0" applyFill="1" applyProtection="1">
      <alignment vertical="center"/>
      <protection locked="0"/>
    </xf>
    <xf numFmtId="0" fontId="0" fillId="10" borderId="11" xfId="0" applyFill="1" applyBorder="1" applyProtection="1">
      <alignment vertical="center"/>
      <protection locked="0"/>
    </xf>
    <xf numFmtId="0" fontId="0" fillId="10" borderId="12" xfId="0" applyFill="1" applyBorder="1" applyProtection="1">
      <alignment vertical="center"/>
      <protection locked="0"/>
    </xf>
    <xf numFmtId="0" fontId="0" fillId="10" borderId="5" xfId="0" applyFill="1" applyBorder="1" applyProtection="1">
      <alignment vertical="center"/>
      <protection locked="0"/>
    </xf>
    <xf numFmtId="0" fontId="0" fillId="10" borderId="14" xfId="0" applyFill="1" applyBorder="1" applyProtection="1">
      <alignment vertical="center"/>
      <protection locked="0"/>
    </xf>
    <xf numFmtId="176" fontId="26" fillId="10" borderId="1" xfId="0" applyNumberFormat="1" applyFont="1" applyFill="1" applyBorder="1" applyAlignment="1" applyProtection="1">
      <alignment vertical="center" wrapText="1"/>
      <protection locked="0"/>
    </xf>
    <xf numFmtId="0" fontId="24" fillId="0" borderId="0" xfId="0" applyFont="1">
      <alignment vertical="center"/>
    </xf>
    <xf numFmtId="0" fontId="0" fillId="0" borderId="19" xfId="0" applyBorder="1">
      <alignment vertical="center"/>
    </xf>
    <xf numFmtId="0" fontId="0" fillId="0" borderId="24" xfId="0" applyBorder="1">
      <alignment vertical="center"/>
    </xf>
    <xf numFmtId="0" fontId="0" fillId="0" borderId="36" xfId="0" applyBorder="1">
      <alignment vertical="center"/>
    </xf>
    <xf numFmtId="0" fontId="0" fillId="0" borderId="37" xfId="0" applyBorder="1">
      <alignment vertical="center"/>
    </xf>
    <xf numFmtId="0" fontId="0" fillId="0" borderId="40" xfId="0" applyBorder="1">
      <alignment vertical="center"/>
    </xf>
    <xf numFmtId="0" fontId="0" fillId="0" borderId="39" xfId="0" applyBorder="1">
      <alignment vertical="center"/>
    </xf>
    <xf numFmtId="0" fontId="0" fillId="0" borderId="41" xfId="0" applyBorder="1">
      <alignment vertical="center"/>
    </xf>
    <xf numFmtId="0" fontId="0" fillId="0" borderId="42" xfId="0" applyBorder="1">
      <alignment vertical="center"/>
    </xf>
    <xf numFmtId="0" fontId="0" fillId="0" borderId="38" xfId="0" applyBorder="1">
      <alignment vertical="center"/>
    </xf>
    <xf numFmtId="0" fontId="0" fillId="0" borderId="15" xfId="0" applyBorder="1">
      <alignment vertical="center"/>
    </xf>
    <xf numFmtId="0" fontId="0" fillId="0" borderId="6" xfId="0" applyBorder="1" applyAlignment="1">
      <alignment horizontal="center" vertical="center" wrapText="1"/>
    </xf>
    <xf numFmtId="0" fontId="38" fillId="0" borderId="0" xfId="0" applyFont="1" applyAlignment="1">
      <alignment horizontal="right" vertical="center"/>
    </xf>
    <xf numFmtId="0" fontId="3" fillId="3" borderId="1" xfId="0" applyFont="1" applyFill="1" applyBorder="1" applyAlignment="1">
      <alignment horizontal="center" vertical="center"/>
    </xf>
    <xf numFmtId="0" fontId="26" fillId="11" borderId="1" xfId="0" applyFont="1" applyFill="1" applyBorder="1" applyAlignment="1">
      <alignment horizontal="right" vertical="center"/>
    </xf>
    <xf numFmtId="0" fontId="26" fillId="12" borderId="1" xfId="0" applyFont="1" applyFill="1" applyBorder="1" applyAlignment="1">
      <alignment horizontal="center" vertical="center"/>
    </xf>
    <xf numFmtId="178" fontId="26" fillId="0" borderId="3" xfId="0" applyNumberFormat="1" applyFont="1" applyBorder="1">
      <alignment vertical="center"/>
    </xf>
    <xf numFmtId="0" fontId="7" fillId="0" borderId="3" xfId="0" applyFont="1" applyBorder="1" applyAlignment="1">
      <alignment horizontal="center" vertical="center"/>
    </xf>
    <xf numFmtId="0" fontId="7" fillId="0" borderId="1" xfId="0"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76" fontId="4" fillId="9" borderId="8"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9" borderId="1" xfId="0" applyFont="1" applyFill="1" applyBorder="1" applyAlignment="1">
      <alignment horizontal="center" vertical="center"/>
    </xf>
    <xf numFmtId="0" fontId="6" fillId="0" borderId="4" xfId="0" applyFont="1" applyBorder="1" applyAlignment="1">
      <alignment horizontal="left" vertical="center" wrapText="1"/>
    </xf>
    <xf numFmtId="176" fontId="4" fillId="9" borderId="1" xfId="0" applyNumberFormat="1" applyFont="1" applyFill="1" applyBorder="1" applyAlignment="1">
      <alignment horizontal="center" vertical="center"/>
    </xf>
    <xf numFmtId="0" fontId="14" fillId="0" borderId="1" xfId="0" applyFont="1" applyBorder="1" applyAlignment="1">
      <alignment horizontal="left" vertical="center" wrapText="1"/>
    </xf>
    <xf numFmtId="1" fontId="4" fillId="9" borderId="1" xfId="0" applyNumberFormat="1" applyFont="1" applyFill="1" applyBorder="1" applyAlignment="1">
      <alignment horizontal="center" vertical="center"/>
    </xf>
    <xf numFmtId="0" fontId="3" fillId="3" borderId="1" xfId="0" applyFont="1" applyFill="1" applyBorder="1">
      <alignment vertical="center"/>
    </xf>
    <xf numFmtId="1" fontId="3" fillId="3" borderId="1" xfId="0" applyNumberFormat="1" applyFont="1" applyFill="1" applyBorder="1">
      <alignment vertical="center"/>
    </xf>
    <xf numFmtId="9" fontId="41" fillId="9" borderId="1" xfId="2" applyFont="1" applyFill="1" applyBorder="1" applyAlignment="1">
      <alignment horizontal="center" vertical="center"/>
    </xf>
    <xf numFmtId="176" fontId="3" fillId="3" borderId="1" xfId="0" applyNumberFormat="1" applyFont="1" applyFill="1" applyBorder="1">
      <alignment vertical="center"/>
    </xf>
    <xf numFmtId="176" fontId="4" fillId="3" borderId="1" xfId="0" applyNumberFormat="1" applyFont="1" applyFill="1" applyBorder="1" applyAlignment="1">
      <alignment horizontal="center" vertical="center"/>
    </xf>
    <xf numFmtId="0" fontId="3" fillId="0" borderId="3" xfId="0" applyFont="1" applyBorder="1" applyAlignment="1">
      <alignment horizontal="center" vertical="center"/>
    </xf>
    <xf numFmtId="0" fontId="14" fillId="0" borderId="1" xfId="0" applyFont="1" applyBorder="1" applyAlignment="1">
      <alignment horizontal="left" vertical="center"/>
    </xf>
    <xf numFmtId="0" fontId="3" fillId="0" borderId="2" xfId="0" applyFont="1" applyBorder="1" applyAlignment="1">
      <alignment horizontal="center" vertical="center"/>
    </xf>
    <xf numFmtId="0" fontId="3" fillId="0" borderId="6" xfId="0" applyFont="1" applyBorder="1">
      <alignment vertical="center"/>
    </xf>
    <xf numFmtId="0" fontId="4" fillId="0" borderId="1" xfId="0" applyFont="1" applyBorder="1" applyAlignment="1">
      <alignment horizontal="center" vertical="center"/>
    </xf>
    <xf numFmtId="180" fontId="3" fillId="3" borderId="7" xfId="0" applyNumberFormat="1" applyFont="1" applyFill="1" applyBorder="1" applyAlignment="1">
      <alignment horizontal="center" vertical="center"/>
    </xf>
    <xf numFmtId="0" fontId="6" fillId="9" borderId="1" xfId="0" applyFont="1" applyFill="1" applyBorder="1" applyAlignment="1">
      <alignment horizontal="center"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4" xfId="0" applyFont="1" applyBorder="1" applyAlignment="1">
      <alignment horizontal="center" vertical="center"/>
    </xf>
    <xf numFmtId="176" fontId="6" fillId="9" borderId="1" xfId="0" applyNumberFormat="1" applyFont="1" applyFill="1" applyBorder="1" applyAlignment="1">
      <alignment horizontal="center" vertical="center"/>
    </xf>
    <xf numFmtId="177" fontId="3" fillId="3" borderId="1" xfId="0" applyNumberFormat="1" applyFont="1" applyFill="1" applyBorder="1">
      <alignment vertical="center"/>
    </xf>
    <xf numFmtId="2" fontId="3" fillId="3" borderId="1" xfId="0" applyNumberFormat="1" applyFont="1" applyFill="1" applyBorder="1" applyAlignment="1">
      <alignment horizontal="right" vertical="center"/>
    </xf>
    <xf numFmtId="1" fontId="3" fillId="3" borderId="2" xfId="0" applyNumberFormat="1" applyFont="1" applyFill="1" applyBorder="1" applyAlignment="1">
      <alignment horizontal="right" vertical="center"/>
    </xf>
    <xf numFmtId="176" fontId="3" fillId="3" borderId="52" xfId="0" applyNumberFormat="1" applyFont="1" applyFill="1" applyBorder="1" applyAlignment="1">
      <alignment horizontal="right" vertical="center"/>
    </xf>
    <xf numFmtId="177" fontId="3" fillId="3" borderId="2" xfId="0" applyNumberFormat="1" applyFont="1" applyFill="1" applyBorder="1">
      <alignment vertical="center"/>
    </xf>
    <xf numFmtId="177" fontId="3" fillId="7" borderId="54" xfId="0" applyNumberFormat="1" applyFont="1" applyFill="1" applyBorder="1">
      <alignment vertical="center"/>
    </xf>
    <xf numFmtId="177" fontId="3" fillId="7" borderId="4" xfId="0" applyNumberFormat="1" applyFont="1" applyFill="1" applyBorder="1">
      <alignment vertical="center"/>
    </xf>
    <xf numFmtId="178" fontId="4" fillId="3" borderId="52" xfId="0" applyNumberFormat="1" applyFont="1" applyFill="1" applyBorder="1">
      <alignment vertical="center"/>
    </xf>
    <xf numFmtId="179" fontId="3" fillId="3" borderId="3" xfId="1" applyNumberFormat="1" applyFont="1" applyFill="1" applyBorder="1">
      <alignment vertical="center"/>
    </xf>
    <xf numFmtId="40" fontId="3" fillId="3" borderId="3" xfId="1" applyNumberFormat="1" applyFont="1" applyFill="1" applyBorder="1">
      <alignment vertical="center"/>
    </xf>
    <xf numFmtId="0" fontId="6" fillId="0" borderId="1" xfId="0" applyFont="1" applyBorder="1">
      <alignment vertical="center"/>
    </xf>
    <xf numFmtId="9" fontId="6" fillId="9" borderId="1" xfId="2" applyFont="1" applyFill="1" applyBorder="1" applyAlignment="1">
      <alignment horizontal="center" vertical="center"/>
    </xf>
    <xf numFmtId="9" fontId="14" fillId="9" borderId="1" xfId="2" applyFont="1" applyFill="1" applyBorder="1" applyAlignment="1">
      <alignment horizontal="center" vertical="center"/>
    </xf>
    <xf numFmtId="176" fontId="3" fillId="3" borderId="55" xfId="0" applyNumberFormat="1" applyFont="1" applyFill="1" applyBorder="1" applyAlignment="1">
      <alignment horizontal="right" vertical="center"/>
    </xf>
    <xf numFmtId="177" fontId="3" fillId="3" borderId="10" xfId="0" applyNumberFormat="1" applyFont="1" applyFill="1" applyBorder="1">
      <alignment vertical="center"/>
    </xf>
    <xf numFmtId="177" fontId="3" fillId="7" borderId="56" xfId="0" applyNumberFormat="1" applyFont="1" applyFill="1" applyBorder="1">
      <alignment vertical="center"/>
    </xf>
    <xf numFmtId="177" fontId="3" fillId="7" borderId="9" xfId="0" applyNumberFormat="1" applyFont="1" applyFill="1" applyBorder="1">
      <alignment vertical="center"/>
    </xf>
    <xf numFmtId="0" fontId="6" fillId="9" borderId="8" xfId="0" applyFont="1" applyFill="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horizontal="left" vertical="center"/>
    </xf>
    <xf numFmtId="0" fontId="0" fillId="13" borderId="15" xfId="0" applyFill="1" applyBorder="1" applyAlignment="1">
      <alignment vertical="top" textRotation="255"/>
    </xf>
    <xf numFmtId="0" fontId="0" fillId="13" borderId="7" xfId="0" applyFill="1" applyBorder="1" applyAlignment="1">
      <alignment vertical="top" textRotation="255"/>
    </xf>
    <xf numFmtId="183" fontId="0" fillId="0" borderId="0" xfId="0" applyNumberFormat="1">
      <alignment vertical="center"/>
    </xf>
    <xf numFmtId="0" fontId="0" fillId="0" borderId="11" xfId="0" applyBorder="1">
      <alignment vertical="center"/>
    </xf>
    <xf numFmtId="0" fontId="0" fillId="0" borderId="14" xfId="0" applyBorder="1">
      <alignment vertical="center"/>
    </xf>
    <xf numFmtId="0" fontId="0" fillId="11" borderId="10" xfId="0" applyFill="1" applyBorder="1">
      <alignment vertical="center"/>
    </xf>
    <xf numFmtId="0" fontId="0" fillId="11" borderId="13" xfId="0" applyFill="1" applyBorder="1">
      <alignment vertical="center"/>
    </xf>
    <xf numFmtId="0" fontId="0" fillId="11" borderId="6" xfId="0" applyFill="1" applyBorder="1" applyAlignment="1">
      <alignment horizontal="center" vertical="center"/>
    </xf>
    <xf numFmtId="0" fontId="0" fillId="11" borderId="11" xfId="0" applyFill="1" applyBorder="1" applyAlignment="1">
      <alignment horizontal="center" vertical="center"/>
    </xf>
    <xf numFmtId="0" fontId="0" fillId="12" borderId="12" xfId="0" applyFill="1" applyBorder="1" applyAlignment="1">
      <alignment horizontal="center" vertical="center"/>
    </xf>
    <xf numFmtId="0" fontId="0" fillId="12" borderId="14" xfId="0" applyFill="1" applyBorder="1" applyAlignment="1">
      <alignment horizontal="center" vertical="center"/>
    </xf>
    <xf numFmtId="181" fontId="26" fillId="0" borderId="7" xfId="0" applyNumberFormat="1" applyFont="1" applyBorder="1">
      <alignment vertical="center"/>
    </xf>
    <xf numFmtId="0" fontId="26" fillId="0" borderId="7" xfId="0" applyFont="1" applyBorder="1" applyAlignment="1">
      <alignment horizontal="center" vertical="center"/>
    </xf>
    <xf numFmtId="177" fontId="26" fillId="0" borderId="0" xfId="0" applyNumberFormat="1" applyFont="1">
      <alignment vertical="center"/>
    </xf>
    <xf numFmtId="2" fontId="26" fillId="0" borderId="0" xfId="0" applyNumberFormat="1" applyFont="1" applyAlignment="1">
      <alignment horizontal="right" vertical="center"/>
    </xf>
    <xf numFmtId="1" fontId="26" fillId="0" borderId="0" xfId="0" applyNumberFormat="1" applyFont="1" applyAlignment="1">
      <alignment horizontal="right" vertical="center"/>
    </xf>
    <xf numFmtId="176" fontId="26" fillId="0" borderId="0" xfId="0" applyNumberFormat="1" applyFont="1" applyAlignment="1">
      <alignment horizontal="right" vertical="center"/>
    </xf>
    <xf numFmtId="178" fontId="26" fillId="0" borderId="0" xfId="0" applyNumberFormat="1" applyFont="1">
      <alignment vertical="center"/>
    </xf>
    <xf numFmtId="179" fontId="26" fillId="0" borderId="0" xfId="1" applyNumberFormat="1" applyFont="1" applyFill="1" applyBorder="1">
      <alignment vertical="center"/>
    </xf>
    <xf numFmtId="40" fontId="26" fillId="0" borderId="0" xfId="1" applyNumberFormat="1" applyFont="1" applyFill="1" applyBorder="1">
      <alignment vertical="center"/>
    </xf>
    <xf numFmtId="0" fontId="37" fillId="11" borderId="13" xfId="0" applyFont="1" applyFill="1" applyBorder="1">
      <alignment vertical="center"/>
    </xf>
    <xf numFmtId="0" fontId="24" fillId="12" borderId="14" xfId="0" applyFont="1" applyFill="1" applyBorder="1" applyAlignment="1">
      <alignment horizontal="center" vertical="center"/>
    </xf>
    <xf numFmtId="0" fontId="38" fillId="11" borderId="11" xfId="0" applyFont="1" applyFill="1" applyBorder="1" applyAlignment="1">
      <alignment horizontal="center" vertical="center"/>
    </xf>
    <xf numFmtId="0" fontId="31" fillId="0" borderId="0" xfId="0" applyFont="1">
      <alignment vertical="center"/>
    </xf>
    <xf numFmtId="0" fontId="0" fillId="13" borderId="0" xfId="0" applyFill="1">
      <alignment vertical="center"/>
    </xf>
    <xf numFmtId="179" fontId="26" fillId="0" borderId="1" xfId="1" applyNumberFormat="1" applyFont="1" applyFill="1" applyBorder="1">
      <alignment vertical="center"/>
    </xf>
    <xf numFmtId="0" fontId="24" fillId="0" borderId="6" xfId="0" applyFont="1" applyBorder="1" applyAlignment="1">
      <alignment horizontal="left" vertical="center"/>
    </xf>
    <xf numFmtId="0" fontId="31" fillId="14" borderId="8" xfId="0" applyFont="1" applyFill="1" applyBorder="1" applyAlignment="1">
      <alignment horizontal="center" vertical="center" shrinkToFit="1"/>
    </xf>
    <xf numFmtId="0" fontId="31" fillId="14" borderId="13" xfId="0" applyFont="1" applyFill="1" applyBorder="1" applyAlignment="1">
      <alignment horizontal="center" vertical="center" shrinkToFit="1"/>
    </xf>
    <xf numFmtId="0" fontId="31" fillId="14" borderId="15" xfId="0" applyFont="1" applyFill="1" applyBorder="1" applyAlignment="1">
      <alignment horizontal="center" vertical="center" shrinkToFit="1"/>
    </xf>
    <xf numFmtId="0" fontId="0" fillId="0" borderId="21" xfId="0" applyBorder="1">
      <alignment vertical="center"/>
    </xf>
    <xf numFmtId="0" fontId="0" fillId="0" borderId="9" xfId="0" applyBorder="1">
      <alignment vertical="center"/>
    </xf>
    <xf numFmtId="0" fontId="0" fillId="0" borderId="47" xfId="0" applyBorder="1">
      <alignment vertical="center"/>
    </xf>
    <xf numFmtId="181" fontId="0" fillId="0" borderId="0" xfId="0" applyNumberFormat="1">
      <alignment vertical="center"/>
    </xf>
    <xf numFmtId="0" fontId="29" fillId="0" borderId="5" xfId="0" applyFont="1" applyBorder="1" applyAlignment="1">
      <alignment horizontal="center" vertical="center"/>
    </xf>
    <xf numFmtId="0" fontId="0" fillId="0" borderId="0" xfId="0" quotePrefix="1">
      <alignment vertical="center"/>
    </xf>
    <xf numFmtId="0" fontId="34" fillId="17" borderId="0" xfId="0" applyFont="1" applyFill="1">
      <alignment vertical="center"/>
    </xf>
    <xf numFmtId="0" fontId="32" fillId="17" borderId="0" xfId="0" applyFont="1" applyFill="1">
      <alignment vertical="center"/>
    </xf>
    <xf numFmtId="0" fontId="35" fillId="17" borderId="0" xfId="0" applyFont="1" applyFill="1">
      <alignment vertical="center"/>
    </xf>
    <xf numFmtId="0" fontId="33" fillId="17" borderId="5" xfId="0" applyFont="1" applyFill="1" applyBorder="1">
      <alignment vertical="center"/>
    </xf>
    <xf numFmtId="0" fontId="22" fillId="0" borderId="0" xfId="5" applyAlignment="1">
      <alignment horizontal="left" vertical="center" wrapText="1"/>
    </xf>
    <xf numFmtId="0" fontId="29" fillId="0" borderId="0" xfId="0" applyFont="1">
      <alignment vertical="center"/>
    </xf>
    <xf numFmtId="0" fontId="46" fillId="0" borderId="0" xfId="5" applyFont="1">
      <alignment vertical="center"/>
    </xf>
    <xf numFmtId="0" fontId="47" fillId="0" borderId="0" xfId="0" applyFont="1">
      <alignment vertical="center"/>
    </xf>
    <xf numFmtId="0" fontId="0" fillId="18" borderId="0" xfId="0" applyFill="1">
      <alignment vertical="center"/>
    </xf>
    <xf numFmtId="0" fontId="38" fillId="17" borderId="0" xfId="0" applyFont="1" applyFill="1">
      <alignment vertical="center"/>
    </xf>
    <xf numFmtId="0" fontId="48" fillId="0" borderId="0" xfId="0" applyFont="1" applyAlignment="1">
      <alignment horizontal="left" vertical="center" indent="2"/>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0" fillId="0" borderId="62" xfId="0" applyBorder="1">
      <alignment vertical="center"/>
    </xf>
    <xf numFmtId="0" fontId="48" fillId="0" borderId="0" xfId="0" applyFont="1">
      <alignment vertical="center"/>
    </xf>
    <xf numFmtId="0" fontId="0" fillId="0" borderId="63" xfId="0" applyBorder="1">
      <alignment vertical="center"/>
    </xf>
    <xf numFmtId="49" fontId="0" fillId="0" borderId="0" xfId="0" quotePrefix="1" applyNumberFormat="1" applyAlignment="1">
      <alignment vertical="top"/>
    </xf>
    <xf numFmtId="0" fontId="0" fillId="0" borderId="64" xfId="0" applyBorder="1">
      <alignment vertical="center"/>
    </xf>
    <xf numFmtId="0" fontId="0" fillId="0" borderId="65" xfId="0" applyBorder="1">
      <alignment vertical="center"/>
    </xf>
    <xf numFmtId="0" fontId="48" fillId="0" borderId="66" xfId="0" applyFont="1" applyBorder="1" applyAlignment="1">
      <alignment horizontal="left" vertical="center" indent="2"/>
    </xf>
    <xf numFmtId="1" fontId="0" fillId="10" borderId="6" xfId="0" applyNumberFormat="1" applyFill="1" applyBorder="1" applyProtection="1">
      <alignment vertical="center"/>
      <protection locked="0"/>
    </xf>
    <xf numFmtId="1" fontId="0" fillId="10" borderId="11" xfId="0" applyNumberFormat="1" applyFill="1" applyBorder="1" applyProtection="1">
      <alignment vertical="center"/>
      <protection locked="0"/>
    </xf>
    <xf numFmtId="0" fontId="16" fillId="10" borderId="1" xfId="3" applyFill="1" applyBorder="1" applyProtection="1">
      <protection locked="0"/>
    </xf>
    <xf numFmtId="0" fontId="32" fillId="19" borderId="0" xfId="0" applyFont="1" applyFill="1">
      <alignment vertical="center"/>
    </xf>
    <xf numFmtId="0" fontId="26" fillId="14" borderId="7" xfId="0" applyFont="1" applyFill="1" applyBorder="1" applyAlignment="1">
      <alignment horizontal="center" vertical="center" shrinkToFit="1"/>
    </xf>
    <xf numFmtId="0" fontId="26" fillId="14" borderId="12" xfId="0" applyFont="1" applyFill="1" applyBorder="1" applyAlignment="1">
      <alignment horizontal="center" vertical="center" shrinkToFit="1"/>
    </xf>
    <xf numFmtId="0" fontId="26" fillId="14" borderId="14" xfId="0" applyFont="1" applyFill="1" applyBorder="1" applyAlignment="1">
      <alignment horizontal="center" vertical="center" shrinkToFit="1"/>
    </xf>
    <xf numFmtId="0" fontId="0" fillId="11" borderId="6" xfId="0" applyFill="1" applyBorder="1" applyAlignment="1">
      <alignment horizontal="center" vertical="center" shrinkToFit="1"/>
    </xf>
    <xf numFmtId="0" fontId="38" fillId="11" borderId="11" xfId="0" applyFont="1" applyFill="1" applyBorder="1" applyAlignment="1">
      <alignment horizontal="center" vertical="center" shrinkToFit="1"/>
    </xf>
    <xf numFmtId="0" fontId="0" fillId="11" borderId="11" xfId="0" applyFill="1" applyBorder="1" applyAlignment="1">
      <alignment horizontal="center" vertical="center" shrinkToFit="1"/>
    </xf>
    <xf numFmtId="0" fontId="22" fillId="0" borderId="0" xfId="5" applyAlignment="1">
      <alignment horizontal="left" vertical="center"/>
    </xf>
    <xf numFmtId="0" fontId="22" fillId="0" borderId="0" xfId="5" applyAlignment="1">
      <alignment horizontal="left" vertical="center" wrapText="1"/>
    </xf>
    <xf numFmtId="0" fontId="0" fillId="13" borderId="8" xfId="0" applyFill="1" applyBorder="1" applyAlignment="1">
      <alignment horizontal="center" vertical="top" textRotation="255"/>
    </xf>
    <xf numFmtId="0" fontId="0" fillId="13" borderId="15" xfId="0" applyFill="1" applyBorder="1" applyAlignment="1">
      <alignment horizontal="center" vertical="top" textRotation="255"/>
    </xf>
    <xf numFmtId="0" fontId="0" fillId="11" borderId="8" xfId="0" applyFill="1" applyBorder="1" applyAlignment="1">
      <alignment horizontal="center" vertical="top" textRotation="255"/>
    </xf>
    <xf numFmtId="0" fontId="0" fillId="11" borderId="15" xfId="0" applyFill="1" applyBorder="1" applyAlignment="1">
      <alignment horizontal="center" vertical="top" textRotation="255"/>
    </xf>
    <xf numFmtId="0" fontId="0" fillId="11" borderId="7" xfId="0" applyFill="1" applyBorder="1" applyAlignment="1">
      <alignment horizontal="center" vertical="top" textRotation="255"/>
    </xf>
    <xf numFmtId="0" fontId="0" fillId="13" borderId="1" xfId="0" applyFill="1" applyBorder="1" applyAlignment="1">
      <alignment horizontal="center" vertical="center"/>
    </xf>
    <xf numFmtId="0" fontId="0" fillId="12" borderId="1" xfId="0" applyFill="1"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33" xfId="0" applyBorder="1" applyAlignment="1">
      <alignment horizontal="center" vertical="center"/>
    </xf>
    <xf numFmtId="0" fontId="0" fillId="0" borderId="22"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2" fontId="0" fillId="0" borderId="3" xfId="0" applyNumberFormat="1" applyBorder="1" applyAlignment="1">
      <alignment horizontal="center" vertical="center"/>
    </xf>
    <xf numFmtId="2" fontId="0" fillId="0" borderId="1" xfId="0" applyNumberFormat="1" applyBorder="1" applyAlignment="1">
      <alignment horizontal="center" vertical="center"/>
    </xf>
    <xf numFmtId="0" fontId="0" fillId="0" borderId="6" xfId="0" applyBorder="1" applyAlignment="1">
      <alignment horizontal="center" vertical="center"/>
    </xf>
    <xf numFmtId="0" fontId="0" fillId="0" borderId="20" xfId="0" applyBorder="1" applyAlignment="1">
      <alignment horizontal="center" vertical="center"/>
    </xf>
    <xf numFmtId="0" fontId="0" fillId="0" borderId="36" xfId="0" applyBorder="1" applyAlignment="1">
      <alignment horizontal="center" vertical="center"/>
    </xf>
    <xf numFmtId="0" fontId="0" fillId="0" borderId="0" xfId="0" applyAlignment="1">
      <alignment horizontal="left" vertical="top" wrapText="1"/>
    </xf>
    <xf numFmtId="0" fontId="0" fillId="0" borderId="12" xfId="0" applyBorder="1" applyAlignment="1">
      <alignment horizontal="center" vertical="center"/>
    </xf>
    <xf numFmtId="0" fontId="0" fillId="0" borderId="5" xfId="0" applyBorder="1" applyAlignment="1">
      <alignment horizontal="center" vertical="center"/>
    </xf>
    <xf numFmtId="0" fontId="0" fillId="0" borderId="14" xfId="0" applyBorder="1" applyAlignment="1">
      <alignment horizontal="center" vertical="center"/>
    </xf>
    <xf numFmtId="0" fontId="0" fillId="0" borderId="46" xfId="0" applyBorder="1" applyAlignment="1">
      <alignment horizontal="center" vertical="center" textRotation="255"/>
    </xf>
    <xf numFmtId="0" fontId="0" fillId="0" borderId="48" xfId="0" applyBorder="1" applyAlignment="1">
      <alignment horizontal="center" vertical="center" textRotation="255"/>
    </xf>
    <xf numFmtId="0" fontId="0" fillId="0" borderId="24" xfId="0" applyBorder="1" applyAlignment="1">
      <alignment horizontal="center" vertical="center" textRotation="255"/>
    </xf>
    <xf numFmtId="1" fontId="0" fillId="0" borderId="12" xfId="0" applyNumberFormat="1" applyBorder="1" applyAlignment="1">
      <alignment horizontal="center" vertical="center"/>
    </xf>
    <xf numFmtId="0" fontId="0" fillId="0" borderId="7" xfId="0" applyBorder="1" applyAlignment="1">
      <alignment horizontal="center" vertical="center"/>
    </xf>
    <xf numFmtId="0" fontId="0" fillId="0" borderId="7" xfId="0" quotePrefix="1" applyBorder="1" applyAlignment="1">
      <alignment horizontal="center"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19" xfId="0" applyFont="1" applyBorder="1" applyAlignment="1">
      <alignment horizontal="center" vertical="center"/>
    </xf>
    <xf numFmtId="0" fontId="29" fillId="0" borderId="1" xfId="0" applyFont="1" applyBorder="1" applyAlignment="1">
      <alignment horizontal="center" vertical="center"/>
    </xf>
    <xf numFmtId="0" fontId="29" fillId="0" borderId="21" xfId="0" applyFont="1" applyBorder="1" applyAlignment="1">
      <alignment horizontal="center" vertical="center" shrinkToFit="1"/>
    </xf>
    <xf numFmtId="0" fontId="29" fillId="0" borderId="22" xfId="0" applyFont="1" applyBorder="1" applyAlignment="1">
      <alignment horizontal="center" vertical="center" shrinkToFit="1"/>
    </xf>
    <xf numFmtId="0" fontId="0" fillId="0" borderId="17" xfId="0" applyBorder="1" applyAlignment="1">
      <alignment horizontal="left" vertical="center"/>
    </xf>
    <xf numFmtId="0" fontId="0" fillId="0" borderId="18" xfId="0" applyBorder="1" applyAlignment="1">
      <alignment horizontal="left" vertical="center"/>
    </xf>
    <xf numFmtId="0" fontId="0" fillId="0" borderId="1" xfId="0" applyBorder="1" applyAlignment="1">
      <alignment horizontal="left" vertical="center"/>
    </xf>
    <xf numFmtId="0" fontId="0" fillId="0" borderId="20" xfId="0" applyBorder="1" applyAlignment="1">
      <alignment horizontal="left" vertical="center"/>
    </xf>
    <xf numFmtId="0" fontId="0" fillId="0" borderId="22" xfId="0" applyBorder="1" applyAlignment="1">
      <alignment horizontal="left" vertical="center"/>
    </xf>
    <xf numFmtId="0" fontId="0" fillId="0" borderId="23" xfId="0" applyBorder="1" applyAlignment="1">
      <alignment horizontal="left" vertical="center"/>
    </xf>
    <xf numFmtId="182" fontId="0" fillId="0" borderId="0" xfId="0" applyNumberFormat="1" applyAlignment="1">
      <alignment horizontal="right" vertical="center"/>
    </xf>
    <xf numFmtId="0" fontId="45" fillId="0" borderId="0" xfId="0" applyFont="1" applyAlignment="1">
      <alignment horizontal="center" vertical="center"/>
    </xf>
    <xf numFmtId="0" fontId="45" fillId="0" borderId="5" xfId="0" applyFont="1"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0" fontId="29" fillId="0" borderId="26" xfId="0" applyFont="1" applyBorder="1" applyAlignment="1">
      <alignment horizontal="center" vertical="center"/>
    </xf>
    <xf numFmtId="0" fontId="29" fillId="0" borderId="27" xfId="0" applyFont="1" applyBorder="1" applyAlignment="1">
      <alignment horizontal="center" vertical="center"/>
    </xf>
    <xf numFmtId="0" fontId="29" fillId="0" borderId="28" xfId="0" applyFont="1" applyBorder="1" applyAlignment="1">
      <alignment horizontal="center" vertical="center"/>
    </xf>
    <xf numFmtId="0" fontId="29" fillId="0" borderId="20" xfId="0" applyFont="1" applyBorder="1" applyAlignment="1">
      <alignment horizontal="center" vertical="center"/>
    </xf>
    <xf numFmtId="0" fontId="29" fillId="0" borderId="31" xfId="0" applyFont="1" applyBorder="1">
      <alignment vertical="center"/>
    </xf>
    <xf numFmtId="0" fontId="29" fillId="0" borderId="32" xfId="0" applyFont="1" applyBorder="1">
      <alignment vertical="center"/>
    </xf>
    <xf numFmtId="0" fontId="29" fillId="0" borderId="33" xfId="0" applyFont="1" applyBorder="1">
      <alignment vertical="center"/>
    </xf>
    <xf numFmtId="0" fontId="0" fillId="0" borderId="34" xfId="0" applyBorder="1" applyAlignment="1">
      <alignment horizontal="center" vertical="center"/>
    </xf>
    <xf numFmtId="1" fontId="0" fillId="0" borderId="34" xfId="0" applyNumberFormat="1" applyBorder="1" applyAlignment="1">
      <alignment horizontal="center" vertical="center"/>
    </xf>
    <xf numFmtId="0" fontId="0" fillId="0" borderId="32" xfId="0" applyBorder="1" applyAlignment="1">
      <alignment horizontal="center" vertical="center"/>
    </xf>
    <xf numFmtId="0" fontId="0" fillId="0" borderId="35" xfId="0" applyBorder="1" applyAlignment="1">
      <alignment horizontal="center" vertical="center"/>
    </xf>
    <xf numFmtId="0" fontId="29" fillId="0" borderId="18" xfId="0" applyFont="1" applyBorder="1" applyAlignment="1">
      <alignment horizontal="center" vertical="center"/>
    </xf>
    <xf numFmtId="0" fontId="29" fillId="0" borderId="19" xfId="0" applyFont="1" applyBorder="1">
      <alignment vertical="center"/>
    </xf>
    <xf numFmtId="0" fontId="29" fillId="0" borderId="1" xfId="0" applyFont="1" applyBorder="1">
      <alignment vertical="center"/>
    </xf>
    <xf numFmtId="1" fontId="0" fillId="0" borderId="1" xfId="0" applyNumberFormat="1" applyBorder="1" applyAlignment="1">
      <alignment horizontal="center" vertical="center"/>
    </xf>
    <xf numFmtId="0" fontId="29" fillId="0" borderId="30" xfId="0" applyFont="1" applyBorder="1">
      <alignment vertical="center"/>
    </xf>
    <xf numFmtId="0" fontId="29" fillId="0" borderId="9" xfId="0" applyFont="1" applyBorder="1">
      <alignment vertical="center"/>
    </xf>
    <xf numFmtId="0" fontId="29" fillId="0" borderId="13" xfId="0" applyFont="1" applyBorder="1">
      <alignment vertical="center"/>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0" fillId="0" borderId="4" xfId="0" applyBorder="1" applyAlignment="1">
      <alignment horizontal="center" vertical="center"/>
    </xf>
    <xf numFmtId="0" fontId="0" fillId="0" borderId="29" xfId="0" applyBorder="1" applyAlignment="1">
      <alignment horizontal="center" vertical="center"/>
    </xf>
    <xf numFmtId="0" fontId="29" fillId="0" borderId="21" xfId="0" applyFont="1" applyBorder="1">
      <alignment vertical="center"/>
    </xf>
    <xf numFmtId="0" fontId="29" fillId="0" borderId="22" xfId="0" applyFont="1" applyBorder="1">
      <alignment vertical="center"/>
    </xf>
    <xf numFmtId="1" fontId="0" fillId="0" borderId="22" xfId="0" applyNumberFormat="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37" xfId="0" applyBorder="1" applyAlignment="1">
      <alignment horizontal="center" vertical="center"/>
    </xf>
    <xf numFmtId="0" fontId="0" fillId="0" borderId="30"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0" xfId="0" applyBorder="1" applyAlignment="1">
      <alignment horizontal="center" vertical="center" wrapText="1"/>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13" xfId="0" applyBorder="1" applyAlignment="1">
      <alignment horizontal="center" vertical="center"/>
    </xf>
    <xf numFmtId="0" fontId="0" fillId="0" borderId="47" xfId="0" applyBorder="1" applyAlignment="1">
      <alignment horizontal="center" vertical="center"/>
    </xf>
    <xf numFmtId="2" fontId="0" fillId="0" borderId="2" xfId="0" applyNumberFormat="1" applyBorder="1" applyAlignment="1">
      <alignment horizontal="center" vertical="center"/>
    </xf>
    <xf numFmtId="0" fontId="29" fillId="0" borderId="16" xfId="0" applyFont="1" applyBorder="1" applyAlignment="1">
      <alignment horizontal="center" vertical="center" wrapText="1"/>
    </xf>
    <xf numFmtId="0" fontId="29" fillId="0" borderId="21" xfId="0" applyFont="1" applyBorder="1" applyAlignment="1">
      <alignment horizontal="center" vertical="center"/>
    </xf>
    <xf numFmtId="0" fontId="29" fillId="0" borderId="22" xfId="0" applyFont="1" applyBorder="1" applyAlignment="1">
      <alignment horizontal="center" vertical="center"/>
    </xf>
    <xf numFmtId="0" fontId="29" fillId="0" borderId="23" xfId="0" applyFont="1" applyBorder="1" applyAlignment="1">
      <alignment horizontal="center" vertical="center"/>
    </xf>
    <xf numFmtId="0" fontId="0" fillId="0" borderId="42" xfId="0" applyBorder="1" applyAlignment="1">
      <alignment horizontal="center" vertical="center"/>
    </xf>
    <xf numFmtId="40" fontId="0" fillId="0" borderId="7" xfId="0" applyNumberFormat="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3" fillId="3" borderId="1"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4" xfId="0" applyFont="1" applyFill="1" applyBorder="1" applyAlignment="1">
      <alignment horizontal="center" vertical="center"/>
    </xf>
    <xf numFmtId="0" fontId="9" fillId="4" borderId="3"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3" xfId="0" applyFont="1" applyFill="1" applyBorder="1" applyAlignment="1">
      <alignment horizontal="center" vertical="center"/>
    </xf>
    <xf numFmtId="0" fontId="11" fillId="6" borderId="1" xfId="0" applyFont="1" applyFill="1" applyBorder="1" applyAlignment="1">
      <alignment horizontal="center" vertical="center"/>
    </xf>
    <xf numFmtId="0" fontId="24" fillId="6" borderId="1" xfId="0" applyFont="1" applyFill="1" applyBorder="1" applyAlignment="1">
      <alignment horizontal="center" vertical="center"/>
    </xf>
    <xf numFmtId="0" fontId="24" fillId="0" borderId="1" xfId="0" applyFont="1" applyBorder="1">
      <alignment vertical="center"/>
    </xf>
    <xf numFmtId="181" fontId="43" fillId="3" borderId="1" xfId="0" applyNumberFormat="1" applyFont="1" applyFill="1" applyBorder="1" applyAlignment="1">
      <alignment horizontal="center" vertical="center"/>
    </xf>
    <xf numFmtId="0" fontId="43" fillId="3" borderId="1" xfId="0" applyFont="1" applyFill="1" applyBorder="1" applyAlignment="1">
      <alignment horizontal="center" vertical="center"/>
    </xf>
    <xf numFmtId="0" fontId="7"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vertical="center" wrapText="1"/>
    </xf>
    <xf numFmtId="0" fontId="10" fillId="3" borderId="57" xfId="0" applyFont="1" applyFill="1" applyBorder="1" applyAlignment="1">
      <alignment horizontal="center" vertical="center"/>
    </xf>
    <xf numFmtId="0" fontId="10" fillId="3" borderId="58" xfId="0" applyFont="1" applyFill="1" applyBorder="1" applyAlignment="1">
      <alignment horizontal="center" vertical="center"/>
    </xf>
    <xf numFmtId="0" fontId="10" fillId="7" borderId="57" xfId="0" applyFont="1" applyFill="1" applyBorder="1" applyAlignment="1">
      <alignment horizontal="center" vertical="center"/>
    </xf>
    <xf numFmtId="0" fontId="10" fillId="7" borderId="58" xfId="0" applyFont="1" applyFill="1" applyBorder="1" applyAlignment="1">
      <alignment horizontal="center" vertical="center"/>
    </xf>
    <xf numFmtId="0" fontId="44" fillId="4" borderId="2" xfId="0" applyFont="1" applyFill="1" applyBorder="1" applyAlignment="1">
      <alignment horizontal="center" vertical="center"/>
    </xf>
    <xf numFmtId="0" fontId="44" fillId="4" borderId="4" xfId="0" applyFont="1" applyFill="1" applyBorder="1" applyAlignment="1">
      <alignment horizontal="center" vertical="center"/>
    </xf>
    <xf numFmtId="0" fontId="44" fillId="4" borderId="3" xfId="0" applyFont="1" applyFill="1" applyBorder="1" applyAlignment="1">
      <alignment horizontal="center" vertical="center"/>
    </xf>
    <xf numFmtId="0" fontId="26" fillId="14" borderId="2" xfId="0" applyFont="1" applyFill="1" applyBorder="1" applyAlignment="1">
      <alignment horizontal="center" vertical="center"/>
    </xf>
    <xf numFmtId="0" fontId="26" fillId="14" borderId="3" xfId="0" applyFont="1" applyFill="1" applyBorder="1" applyAlignment="1">
      <alignment horizontal="center" vertical="center"/>
    </xf>
    <xf numFmtId="0" fontId="31" fillId="16" borderId="1" xfId="0" applyFont="1" applyFill="1" applyBorder="1" applyAlignment="1">
      <alignment horizontal="center" vertical="center"/>
    </xf>
    <xf numFmtId="0" fontId="32" fillId="5" borderId="0" xfId="0" applyFont="1" applyFill="1" applyBorder="1">
      <alignment vertical="center"/>
    </xf>
  </cellXfs>
  <cellStyles count="6">
    <cellStyle name="パーセント" xfId="2" builtinId="5"/>
    <cellStyle name="パーセント 2" xfId="4" xr:uid="{A35CF07A-F74F-415E-A2AA-71D491AC3066}"/>
    <cellStyle name="ハイパーリンク" xfId="5" builtinId="8"/>
    <cellStyle name="桁区切り" xfId="1" builtinId="6"/>
    <cellStyle name="標準" xfId="0" builtinId="0"/>
    <cellStyle name="標準 2" xfId="3" xr:uid="{F570E0E0-F0F0-4174-BE91-B1F22760C17A}"/>
  </cellStyles>
  <dxfs count="3">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9949774796668"/>
          <c:y val="6.7644211140274135E-2"/>
          <c:w val="0.78011967639847479"/>
          <c:h val="0.79875856258708411"/>
        </c:manualLayout>
      </c:layout>
      <c:scatterChart>
        <c:scatterStyle val="lineMarker"/>
        <c:varyColors val="0"/>
        <c:ser>
          <c:idx val="0"/>
          <c:order val="0"/>
          <c:tx>
            <c:v>回帰曲線</c:v>
          </c:tx>
          <c:spPr>
            <a:ln w="19050" cap="rnd">
              <a:solidFill>
                <a:schemeClr val="accent1"/>
              </a:solidFill>
              <a:round/>
            </a:ln>
            <a:effectLst/>
          </c:spPr>
          <c:marker>
            <c:symbol val="none"/>
          </c:marker>
          <c:xVal>
            <c:numRef>
              <c:f>'C1'!$FI$14:$FI$1013</c:f>
              <c:numCache>
                <c:formatCode>General</c:formatCode>
                <c:ptCount val="1000"/>
                <c:pt idx="0">
                  <c:v>14.842300559999998</c:v>
                </c:pt>
                <c:pt idx="1">
                  <c:v>60.705009284399999</c:v>
                </c:pt>
                <c:pt idx="2">
                  <c:v>106.56771800880001</c:v>
                </c:pt>
                <c:pt idx="3">
                  <c:v>152.43042673319999</c:v>
                </c:pt>
                <c:pt idx="4">
                  <c:v>198.29313545760004</c:v>
                </c:pt>
                <c:pt idx="5">
                  <c:v>244.15584418199998</c:v>
                </c:pt>
                <c:pt idx="6">
                  <c:v>290.01855290640003</c:v>
                </c:pt>
                <c:pt idx="7">
                  <c:v>335.8812616308</c:v>
                </c:pt>
                <c:pt idx="8">
                  <c:v>381.74397035519996</c:v>
                </c:pt>
                <c:pt idx="9">
                  <c:v>427.60667907959993</c:v>
                </c:pt>
                <c:pt idx="10">
                  <c:v>473.46938780400001</c:v>
                </c:pt>
                <c:pt idx="11">
                  <c:v>519.33209652840003</c:v>
                </c:pt>
                <c:pt idx="12">
                  <c:v>565.19480525279994</c:v>
                </c:pt>
                <c:pt idx="13">
                  <c:v>611.05751397719996</c:v>
                </c:pt>
                <c:pt idx="14">
                  <c:v>656.92022270159998</c:v>
                </c:pt>
                <c:pt idx="15">
                  <c:v>702.782931426</c:v>
                </c:pt>
                <c:pt idx="16">
                  <c:v>748.64564015040003</c:v>
                </c:pt>
                <c:pt idx="17">
                  <c:v>794.50834887480005</c:v>
                </c:pt>
                <c:pt idx="18">
                  <c:v>840.37105759919996</c:v>
                </c:pt>
                <c:pt idx="19">
                  <c:v>886.23376632360009</c:v>
                </c:pt>
                <c:pt idx="20">
                  <c:v>932.09647504799977</c:v>
                </c:pt>
                <c:pt idx="21">
                  <c:v>977.95918377239991</c:v>
                </c:pt>
                <c:pt idx="22">
                  <c:v>1023.8218924968</c:v>
                </c:pt>
                <c:pt idx="23">
                  <c:v>1069.6846012212002</c:v>
                </c:pt>
                <c:pt idx="24">
                  <c:v>1115.5473099455999</c:v>
                </c:pt>
                <c:pt idx="25">
                  <c:v>1161.41001867</c:v>
                </c:pt>
                <c:pt idx="26">
                  <c:v>1207.2727273943999</c:v>
                </c:pt>
                <c:pt idx="27">
                  <c:v>1253.1354361188</c:v>
                </c:pt>
                <c:pt idx="28">
                  <c:v>1298.9981448432002</c:v>
                </c:pt>
                <c:pt idx="29">
                  <c:v>1344.8608535676001</c:v>
                </c:pt>
                <c:pt idx="30">
                  <c:v>1390.723562292</c:v>
                </c:pt>
                <c:pt idx="31">
                  <c:v>1436.5862710164004</c:v>
                </c:pt>
                <c:pt idx="32">
                  <c:v>1482.4489797408003</c:v>
                </c:pt>
                <c:pt idx="33">
                  <c:v>1528.3116884651999</c:v>
                </c:pt>
                <c:pt idx="34">
                  <c:v>1574.1743971896001</c:v>
                </c:pt>
                <c:pt idx="35">
                  <c:v>1620.037105914</c:v>
                </c:pt>
                <c:pt idx="36">
                  <c:v>1665.8998146384004</c:v>
                </c:pt>
                <c:pt idx="37">
                  <c:v>1711.7625233628</c:v>
                </c:pt>
                <c:pt idx="38">
                  <c:v>1757.6252320872004</c:v>
                </c:pt>
                <c:pt idx="39">
                  <c:v>1803.4879408116003</c:v>
                </c:pt>
                <c:pt idx="40">
                  <c:v>1849.3506495360002</c:v>
                </c:pt>
                <c:pt idx="41">
                  <c:v>1895.2133582604001</c:v>
                </c:pt>
                <c:pt idx="42">
                  <c:v>1941.0760669848003</c:v>
                </c:pt>
                <c:pt idx="43">
                  <c:v>1986.9387757092004</c:v>
                </c:pt>
                <c:pt idx="44">
                  <c:v>2032.8014844336001</c:v>
                </c:pt>
                <c:pt idx="45">
                  <c:v>2078.6641931579998</c:v>
                </c:pt>
                <c:pt idx="46">
                  <c:v>2124.5269018824006</c:v>
                </c:pt>
                <c:pt idx="47">
                  <c:v>2170.3896106068005</c:v>
                </c:pt>
                <c:pt idx="48">
                  <c:v>2216.2523193312004</c:v>
                </c:pt>
                <c:pt idx="49">
                  <c:v>2262.1150280556003</c:v>
                </c:pt>
                <c:pt idx="50">
                  <c:v>2307.9777367800011</c:v>
                </c:pt>
                <c:pt idx="51">
                  <c:v>2353.8404455044001</c:v>
                </c:pt>
                <c:pt idx="52">
                  <c:v>2399.7031542288005</c:v>
                </c:pt>
                <c:pt idx="53">
                  <c:v>2445.5658629532004</c:v>
                </c:pt>
                <c:pt idx="54">
                  <c:v>2491.4285716776008</c:v>
                </c:pt>
                <c:pt idx="55">
                  <c:v>2537.2912804020002</c:v>
                </c:pt>
                <c:pt idx="56">
                  <c:v>2583.1539891264001</c:v>
                </c:pt>
                <c:pt idx="57">
                  <c:v>2629.0166978508005</c:v>
                </c:pt>
                <c:pt idx="58">
                  <c:v>2674.8794065752008</c:v>
                </c:pt>
                <c:pt idx="59">
                  <c:v>2720.7421152996003</c:v>
                </c:pt>
                <c:pt idx="60">
                  <c:v>2766.6048240240002</c:v>
                </c:pt>
                <c:pt idx="61">
                  <c:v>2812.4675327484006</c:v>
                </c:pt>
                <c:pt idx="62">
                  <c:v>2858.3302414728</c:v>
                </c:pt>
                <c:pt idx="63">
                  <c:v>2904.1929501971999</c:v>
                </c:pt>
                <c:pt idx="64">
                  <c:v>2950.0556589215998</c:v>
                </c:pt>
                <c:pt idx="65">
                  <c:v>2995.9183676460007</c:v>
                </c:pt>
                <c:pt idx="66">
                  <c:v>3041.7810763704001</c:v>
                </c:pt>
                <c:pt idx="67">
                  <c:v>3087.6437850948005</c:v>
                </c:pt>
                <c:pt idx="68">
                  <c:v>3133.5064938192004</c:v>
                </c:pt>
                <c:pt idx="69">
                  <c:v>3179.3692025436012</c:v>
                </c:pt>
                <c:pt idx="70">
                  <c:v>3225.2319112680002</c:v>
                </c:pt>
                <c:pt idx="71">
                  <c:v>3271.0946199924001</c:v>
                </c:pt>
                <c:pt idx="72">
                  <c:v>3316.9573287167996</c:v>
                </c:pt>
                <c:pt idx="73">
                  <c:v>3362.8200374412004</c:v>
                </c:pt>
                <c:pt idx="74">
                  <c:v>3408.6827461656003</c:v>
                </c:pt>
                <c:pt idx="75">
                  <c:v>3454.5454548900002</c:v>
                </c:pt>
                <c:pt idx="76">
                  <c:v>3500.4081636144006</c:v>
                </c:pt>
                <c:pt idx="77">
                  <c:v>3546.2708723388005</c:v>
                </c:pt>
                <c:pt idx="78">
                  <c:v>3592.1335810632008</c:v>
                </c:pt>
                <c:pt idx="79">
                  <c:v>3637.9962897876003</c:v>
                </c:pt>
                <c:pt idx="80">
                  <c:v>3683.8589985120002</c:v>
                </c:pt>
                <c:pt idx="81">
                  <c:v>3729.7217072364001</c:v>
                </c:pt>
                <c:pt idx="82">
                  <c:v>3775.5844159608005</c:v>
                </c:pt>
                <c:pt idx="83">
                  <c:v>3821.4471246851999</c:v>
                </c:pt>
                <c:pt idx="84">
                  <c:v>3867.3098334096012</c:v>
                </c:pt>
                <c:pt idx="85">
                  <c:v>3913.1725421340002</c:v>
                </c:pt>
                <c:pt idx="86">
                  <c:v>3959.0352508584001</c:v>
                </c:pt>
                <c:pt idx="87">
                  <c:v>4004.8979595828</c:v>
                </c:pt>
                <c:pt idx="88">
                  <c:v>4050.7606683071995</c:v>
                </c:pt>
                <c:pt idx="89">
                  <c:v>4096.6233770316003</c:v>
                </c:pt>
                <c:pt idx="90">
                  <c:v>4142.4860857559997</c:v>
                </c:pt>
                <c:pt idx="91">
                  <c:v>4188.3487944804001</c:v>
                </c:pt>
                <c:pt idx="92">
                  <c:v>4234.2115032048005</c:v>
                </c:pt>
                <c:pt idx="93">
                  <c:v>4280.0742119291999</c:v>
                </c:pt>
                <c:pt idx="94">
                  <c:v>4325.9369206536003</c:v>
                </c:pt>
                <c:pt idx="95">
                  <c:v>4371.7996293779997</c:v>
                </c:pt>
                <c:pt idx="96">
                  <c:v>4417.6623381024001</c:v>
                </c:pt>
                <c:pt idx="97">
                  <c:v>4463.5250468267996</c:v>
                </c:pt>
                <c:pt idx="98">
                  <c:v>4509.3877555512008</c:v>
                </c:pt>
                <c:pt idx="99">
                  <c:v>4555.2504642756003</c:v>
                </c:pt>
                <c:pt idx="100">
                  <c:v>4601.1131730000006</c:v>
                </c:pt>
              </c:numCache>
            </c:numRef>
          </c:xVal>
          <c:yVal>
            <c:numRef>
              <c:f>'C1'!$FH$14:$FH$1013</c:f>
              <c:numCache>
                <c:formatCode>General</c:formatCode>
                <c:ptCount val="1000"/>
                <c:pt idx="0">
                  <c:v>44.384402528759132</c:v>
                </c:pt>
                <c:pt idx="1">
                  <c:v>44.455928084427299</c:v>
                </c:pt>
                <c:pt idx="2">
                  <c:v>44.509433523738664</c:v>
                </c:pt>
                <c:pt idx="3">
                  <c:v>44.545559955107144</c:v>
                </c:pt>
                <c:pt idx="4">
                  <c:v>44.564935235877286</c:v>
                </c:pt>
                <c:pt idx="5">
                  <c:v>44.568173972324445</c:v>
                </c:pt>
                <c:pt idx="6">
                  <c:v>44.555877519654707</c:v>
                </c:pt>
                <c:pt idx="7">
                  <c:v>44.528633982004934</c:v>
                </c:pt>
                <c:pt idx="8">
                  <c:v>44.487018212442706</c:v>
                </c:pt>
                <c:pt idx="9">
                  <c:v>44.431591812966381</c:v>
                </c:pt>
                <c:pt idx="10">
                  <c:v>44.362903134505032</c:v>
                </c:pt>
                <c:pt idx="11">
                  <c:v>44.281487276918533</c:v>
                </c:pt>
                <c:pt idx="12">
                  <c:v>44.187866088997438</c:v>
                </c:pt>
                <c:pt idx="13">
                  <c:v>44.082548168463134</c:v>
                </c:pt>
                <c:pt idx="14">
                  <c:v>43.966028861967672</c:v>
                </c:pt>
                <c:pt idx="15">
                  <c:v>43.838790265093941</c:v>
                </c:pt>
                <c:pt idx="16">
                  <c:v>43.701301222355497</c:v>
                </c:pt>
                <c:pt idx="17">
                  <c:v>43.554017327196703</c:v>
                </c:pt>
                <c:pt idx="18">
                  <c:v>43.397380921992649</c:v>
                </c:pt>
                <c:pt idx="19">
                  <c:v>43.231821098049181</c:v>
                </c:pt>
                <c:pt idx="20">
                  <c:v>43.057753695602884</c:v>
                </c:pt>
                <c:pt idx="21">
                  <c:v>42.875581303821122</c:v>
                </c:pt>
                <c:pt idx="22">
                  <c:v>42.685693260801962</c:v>
                </c:pt>
                <c:pt idx="23">
                  <c:v>42.488465653574266</c:v>
                </c:pt>
                <c:pt idx="24">
                  <c:v>42.284261318097613</c:v>
                </c:pt>
                <c:pt idx="25">
                  <c:v>42.07342983926236</c:v>
                </c:pt>
                <c:pt idx="26">
                  <c:v>41.856307550889596</c:v>
                </c:pt>
                <c:pt idx="27">
                  <c:v>41.633217535731177</c:v>
                </c:pt>
                <c:pt idx="28">
                  <c:v>41.404469625469673</c:v>
                </c:pt>
                <c:pt idx="29">
                  <c:v>41.170360400718437</c:v>
                </c:pt>
                <c:pt idx="30">
                  <c:v>40.931173191021571</c:v>
                </c:pt>
                <c:pt idx="31">
                  <c:v>40.687178074853911</c:v>
                </c:pt>
                <c:pt idx="32">
                  <c:v>40.438631879621042</c:v>
                </c:pt>
                <c:pt idx="33">
                  <c:v>40.185778181659323</c:v>
                </c:pt>
                <c:pt idx="34">
                  <c:v>39.928847306235845</c:v>
                </c:pt>
                <c:pt idx="35">
                  <c:v>39.668056327548449</c:v>
                </c:pt>
                <c:pt idx="36">
                  <c:v>39.403609068725707</c:v>
                </c:pt>
                <c:pt idx="37">
                  <c:v>39.135696101826994</c:v>
                </c:pt>
                <c:pt idx="38">
                  <c:v>38.8644947478424</c:v>
                </c:pt>
                <c:pt idx="39">
                  <c:v>38.590169076692746</c:v>
                </c:pt>
                <c:pt idx="40">
                  <c:v>38.312869907229647</c:v>
                </c:pt>
                <c:pt idx="41">
                  <c:v>38.032734807235428</c:v>
                </c:pt>
                <c:pt idx="42">
                  <c:v>37.749888093423195</c:v>
                </c:pt>
                <c:pt idx="43">
                  <c:v>37.464440831436789</c:v>
                </c:pt>
                <c:pt idx="44">
                  <c:v>37.176490835850807</c:v>
                </c:pt>
                <c:pt idx="45">
                  <c:v>36.886122670170586</c:v>
                </c:pt>
                <c:pt idx="46">
                  <c:v>36.593407646832205</c:v>
                </c:pt>
                <c:pt idx="47">
                  <c:v>36.298403827202534</c:v>
                </c:pt>
                <c:pt idx="48">
                  <c:v>36.001156021579156</c:v>
                </c:pt>
                <c:pt idx="49">
                  <c:v>35.70169578919041</c:v>
                </c:pt>
                <c:pt idx="50">
                  <c:v>35.40004143819538</c:v>
                </c:pt>
                <c:pt idx="51">
                  <c:v>35.096198025683933</c:v>
                </c:pt>
                <c:pt idx="52">
                  <c:v>34.790157357676648</c:v>
                </c:pt>
                <c:pt idx="53">
                  <c:v>34.481897989124853</c:v>
                </c:pt>
                <c:pt idx="54">
                  <c:v>34.171385223910661</c:v>
                </c:pt>
                <c:pt idx="55">
                  <c:v>33.85857111484691</c:v>
                </c:pt>
                <c:pt idx="56">
                  <c:v>33.54339446367721</c:v>
                </c:pt>
                <c:pt idx="57">
                  <c:v>33.225780821075858</c:v>
                </c:pt>
                <c:pt idx="58">
                  <c:v>32.905642486647992</c:v>
                </c:pt>
                <c:pt idx="59">
                  <c:v>32.582878508929426</c:v>
                </c:pt>
                <c:pt idx="60">
                  <c:v>32.257374685386779</c:v>
                </c:pt>
                <c:pt idx="61">
                  <c:v>31.92900356241736</c:v>
                </c:pt>
                <c:pt idx="62">
                  <c:v>31.597624435349282</c:v>
                </c:pt>
                <c:pt idx="63">
                  <c:v>31.263083348441391</c:v>
                </c:pt>
                <c:pt idx="64">
                  <c:v>30.925213094883272</c:v>
                </c:pt>
                <c:pt idx="65">
                  <c:v>30.583833216795263</c:v>
                </c:pt>
                <c:pt idx="66">
                  <c:v>30.238750005228482</c:v>
                </c:pt>
                <c:pt idx="67">
                  <c:v>29.88975650016474</c:v>
                </c:pt>
                <c:pt idx="68">
                  <c:v>29.536632490516631</c:v>
                </c:pt>
                <c:pt idx="69">
                  <c:v>29.179144514127515</c:v>
                </c:pt>
                <c:pt idx="70">
                  <c:v>28.817045857771475</c:v>
                </c:pt>
                <c:pt idx="71">
                  <c:v>28.450076557153345</c:v>
                </c:pt>
                <c:pt idx="72">
                  <c:v>28.077963396908757</c:v>
                </c:pt>
                <c:pt idx="73">
                  <c:v>27.700419910603998</c:v>
                </c:pt>
                <c:pt idx="74">
                  <c:v>27.31714638073619</c:v>
                </c:pt>
                <c:pt idx="75">
                  <c:v>26.927829838733167</c:v>
                </c:pt>
                <c:pt idx="76">
                  <c:v>26.532144064953531</c:v>
                </c:pt>
                <c:pt idx="77">
                  <c:v>26.129749588686614</c:v>
                </c:pt>
                <c:pt idx="78">
                  <c:v>25.720293688152509</c:v>
                </c:pt>
                <c:pt idx="79">
                  <c:v>25.303410390502066</c:v>
                </c:pt>
                <c:pt idx="80">
                  <c:v>24.878720471816884</c:v>
                </c:pt>
                <c:pt idx="81">
                  <c:v>24.445831457109264</c:v>
                </c:pt>
                <c:pt idx="82">
                  <c:v>24.004337620322342</c:v>
                </c:pt>
                <c:pt idx="83">
                  <c:v>23.553819984329945</c:v>
                </c:pt>
                <c:pt idx="84">
                  <c:v>23.09384632093666</c:v>
                </c:pt>
                <c:pt idx="85">
                  <c:v>22.623971150877839</c:v>
                </c:pt>
                <c:pt idx="86">
                  <c:v>22.143735743819562</c:v>
                </c:pt>
                <c:pt idx="87">
                  <c:v>21.652668118358687</c:v>
                </c:pt>
                <c:pt idx="88">
                  <c:v>21.150283042022771</c:v>
                </c:pt>
                <c:pt idx="89">
                  <c:v>20.636082031270185</c:v>
                </c:pt>
                <c:pt idx="90">
                  <c:v>20.109553351490035</c:v>
                </c:pt>
                <c:pt idx="91">
                  <c:v>19.570172017002129</c:v>
                </c:pt>
                <c:pt idx="92">
                  <c:v>19.017399791057073</c:v>
                </c:pt>
                <c:pt idx="93">
                  <c:v>18.450685185836218</c:v>
                </c:pt>
                <c:pt idx="94">
                  <c:v>17.869463462451659</c:v>
                </c:pt>
                <c:pt idx="95">
                  <c:v>17.273156630946197</c:v>
                </c:pt>
                <c:pt idx="96">
                  <c:v>16.661173450293472</c:v>
                </c:pt>
                <c:pt idx="97">
                  <c:v>16.032909428397769</c:v>
                </c:pt>
                <c:pt idx="98">
                  <c:v>15.387746822094256</c:v>
                </c:pt>
                <c:pt idx="99">
                  <c:v>14.725054637148713</c:v>
                </c:pt>
                <c:pt idx="100">
                  <c:v>14.044188628257769</c:v>
                </c:pt>
              </c:numCache>
            </c:numRef>
          </c:yVal>
          <c:smooth val="0"/>
          <c:extLst>
            <c:ext xmlns:c16="http://schemas.microsoft.com/office/drawing/2014/chart" uri="{C3380CC4-5D6E-409C-BE32-E72D297353CC}">
              <c16:uniqueId val="{00000000-7B68-4382-9764-0809C6CC6C29}"/>
            </c:ext>
          </c:extLst>
        </c:ser>
        <c:ser>
          <c:idx val="1"/>
          <c:order val="1"/>
          <c:tx>
            <c:v>サンプルデータ</c:v>
          </c:tx>
          <c:spPr>
            <a:ln w="19050" cap="rnd">
              <a:noFill/>
              <a:round/>
            </a:ln>
            <a:effectLst/>
          </c:spPr>
          <c:marker>
            <c:symbol val="circle"/>
            <c:size val="8"/>
            <c:spPr>
              <a:noFill/>
              <a:ln w="9525">
                <a:solidFill>
                  <a:schemeClr val="accent1"/>
                </a:solidFill>
              </a:ln>
              <a:effectLst/>
            </c:spPr>
          </c:marker>
          <c:xVal>
            <c:numRef>
              <c:f>'C1'!$FP$14:$FP$1013</c:f>
              <c:numCache>
                <c:formatCode>General</c:formatCode>
                <c:ptCount val="1000"/>
                <c:pt idx="0">
                  <c:v>14.842300559999998</c:v>
                </c:pt>
                <c:pt idx="1">
                  <c:v>163.26530610000003</c:v>
                </c:pt>
                <c:pt idx="2">
                  <c:v>326.53061220000006</c:v>
                </c:pt>
                <c:pt idx="3">
                  <c:v>482.37476809999998</c:v>
                </c:pt>
                <c:pt idx="4">
                  <c:v>667.90352499999983</c:v>
                </c:pt>
                <c:pt idx="5">
                  <c:v>823.74768090000009</c:v>
                </c:pt>
                <c:pt idx="6">
                  <c:v>935.06493509999996</c:v>
                </c:pt>
                <c:pt idx="7">
                  <c:v>1046.3821889999999</c:v>
                </c:pt>
                <c:pt idx="8">
                  <c:v>1179.962894</c:v>
                </c:pt>
                <c:pt idx="9">
                  <c:v>1350.649351</c:v>
                </c:pt>
                <c:pt idx="10">
                  <c:v>1528.7569570000003</c:v>
                </c:pt>
                <c:pt idx="11">
                  <c:v>1721.7068650000006</c:v>
                </c:pt>
                <c:pt idx="12">
                  <c:v>1870.1298699999998</c:v>
                </c:pt>
                <c:pt idx="13">
                  <c:v>2063.0797769999999</c:v>
                </c:pt>
                <c:pt idx="14">
                  <c:v>2211.5027829999995</c:v>
                </c:pt>
                <c:pt idx="15">
                  <c:v>2404.4526900000005</c:v>
                </c:pt>
                <c:pt idx="16">
                  <c:v>2619.666048</c:v>
                </c:pt>
                <c:pt idx="17">
                  <c:v>2812.6159550000007</c:v>
                </c:pt>
                <c:pt idx="18">
                  <c:v>2953.6178110000001</c:v>
                </c:pt>
                <c:pt idx="19">
                  <c:v>3072.3562149999993</c:v>
                </c:pt>
                <c:pt idx="20">
                  <c:v>3191.0946199999998</c:v>
                </c:pt>
                <c:pt idx="21">
                  <c:v>3361.7810760000016</c:v>
                </c:pt>
                <c:pt idx="22">
                  <c:v>3465.6771800000001</c:v>
                </c:pt>
                <c:pt idx="23">
                  <c:v>3569.5732840000001</c:v>
                </c:pt>
                <c:pt idx="24">
                  <c:v>3703.1539889999999</c:v>
                </c:pt>
                <c:pt idx="25">
                  <c:v>3836.7346940000007</c:v>
                </c:pt>
                <c:pt idx="26">
                  <c:v>3962.8942489999995</c:v>
                </c:pt>
                <c:pt idx="27">
                  <c:v>4103.8961040000004</c:v>
                </c:pt>
                <c:pt idx="28">
                  <c:v>4207.7922079999998</c:v>
                </c:pt>
                <c:pt idx="29">
                  <c:v>4296.8460109999987</c:v>
                </c:pt>
                <c:pt idx="30">
                  <c:v>4371.0575140000001</c:v>
                </c:pt>
                <c:pt idx="31">
                  <c:v>4437.8478660000001</c:v>
                </c:pt>
                <c:pt idx="32">
                  <c:v>4512.0593689999987</c:v>
                </c:pt>
                <c:pt idx="33">
                  <c:v>4601.1131730000006</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'C1'!$FO$14:$FO$1013</c:f>
              <c:numCache>
                <c:formatCode>General</c:formatCode>
                <c:ptCount val="1000"/>
                <c:pt idx="0">
                  <c:v>44.423963130000004</c:v>
                </c:pt>
                <c:pt idx="1">
                  <c:v>44.516129029999995</c:v>
                </c:pt>
                <c:pt idx="2">
                  <c:v>44.33179724</c:v>
                </c:pt>
                <c:pt idx="3">
                  <c:v>44.423963130000004</c:v>
                </c:pt>
                <c:pt idx="4">
                  <c:v>43.963133640000002</c:v>
                </c:pt>
                <c:pt idx="5">
                  <c:v>43.502304150000008</c:v>
                </c:pt>
                <c:pt idx="6">
                  <c:v>43.133640550000003</c:v>
                </c:pt>
                <c:pt idx="7">
                  <c:v>42.764976959999991</c:v>
                </c:pt>
                <c:pt idx="8">
                  <c:v>42.027649769999996</c:v>
                </c:pt>
                <c:pt idx="9">
                  <c:v>41.198156680000004</c:v>
                </c:pt>
                <c:pt idx="10">
                  <c:v>40.092165899999991</c:v>
                </c:pt>
                <c:pt idx="11">
                  <c:v>38.986175119999999</c:v>
                </c:pt>
                <c:pt idx="12">
                  <c:v>37.972350230000004</c:v>
                </c:pt>
                <c:pt idx="13">
                  <c:v>37.050691240000006</c:v>
                </c:pt>
                <c:pt idx="14">
                  <c:v>35.944700460000014</c:v>
                </c:pt>
                <c:pt idx="15">
                  <c:v>34.562211980000008</c:v>
                </c:pt>
                <c:pt idx="16">
                  <c:v>33.179723500000009</c:v>
                </c:pt>
                <c:pt idx="17">
                  <c:v>31.981566820000001</c:v>
                </c:pt>
                <c:pt idx="18">
                  <c:v>31.059907830000004</c:v>
                </c:pt>
                <c:pt idx="19">
                  <c:v>30.046082949999999</c:v>
                </c:pt>
                <c:pt idx="20">
                  <c:v>29.124423959999998</c:v>
                </c:pt>
                <c:pt idx="21">
                  <c:v>28.110599080000004</c:v>
                </c:pt>
                <c:pt idx="22">
                  <c:v>27.004608289999997</c:v>
                </c:pt>
                <c:pt idx="23">
                  <c:v>25.898617510000001</c:v>
                </c:pt>
                <c:pt idx="24">
                  <c:v>24.608294930000003</c:v>
                </c:pt>
                <c:pt idx="25">
                  <c:v>23.317972350000002</c:v>
                </c:pt>
                <c:pt idx="26">
                  <c:v>22.119815669999994</c:v>
                </c:pt>
                <c:pt idx="27">
                  <c:v>20.460829489999995</c:v>
                </c:pt>
                <c:pt idx="28">
                  <c:v>19.170506910000004</c:v>
                </c:pt>
                <c:pt idx="29">
                  <c:v>18.064516129999998</c:v>
                </c:pt>
                <c:pt idx="30">
                  <c:v>17.142857140000004</c:v>
                </c:pt>
                <c:pt idx="31">
                  <c:v>16.221198160000004</c:v>
                </c:pt>
                <c:pt idx="32">
                  <c:v>15.483870970000003</c:v>
                </c:pt>
                <c:pt idx="33">
                  <c:v>14.377880179999998</c:v>
                </c:pt>
              </c:numCache>
            </c:numRef>
          </c:yVal>
          <c:smooth val="0"/>
          <c:extLst>
            <c:ext xmlns:c16="http://schemas.microsoft.com/office/drawing/2014/chart" uri="{C3380CC4-5D6E-409C-BE32-E72D297353CC}">
              <c16:uniqueId val="{00000001-7B68-4382-9764-0809C6CC6C29}"/>
            </c:ext>
          </c:extLst>
        </c:ser>
        <c:dLbls>
          <c:showLegendKey val="0"/>
          <c:showVal val="0"/>
          <c:showCatName val="0"/>
          <c:showSerName val="0"/>
          <c:showPercent val="0"/>
          <c:showBubbleSize val="0"/>
        </c:dLbls>
        <c:axId val="1866239839"/>
        <c:axId val="170578446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strRef>
              <c:f>'C1'!$FI$13</c:f>
              <c:strCache>
                <c:ptCount val="1"/>
                <c:pt idx="0">
                  <c:v>L/s</c:v>
                </c:pt>
              </c:strCache>
            </c:strRef>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strRef>
              <c:f>'C1'!$FH$13</c:f>
              <c:strCache>
                <c:ptCount val="1"/>
                <c:pt idx="0">
                  <c:v>m</c:v>
                </c:pt>
              </c:strCache>
            </c:strRef>
          </c:tx>
          <c:layout>
            <c:manualLayout>
              <c:xMode val="edge"/>
              <c:yMode val="edge"/>
              <c:x val="2.4939783761597713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spPr>
        <a:solidFill>
          <a:schemeClr val="bg1"/>
        </a:solidFill>
        <a:ln>
          <a:noFill/>
        </a:ln>
        <a:effectLst/>
      </c:spPr>
    </c:plotArea>
    <c:legend>
      <c:legendPos val="t"/>
      <c:layout>
        <c:manualLayout>
          <c:xMode val="edge"/>
          <c:yMode val="edge"/>
          <c:x val="0.16669138579899734"/>
          <c:y val="1.1396011396011389E-3"/>
          <c:w val="0.78730158730158717"/>
          <c:h val="5.5555944395839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71912882473677"/>
          <c:y val="9.0042002223564122E-2"/>
          <c:w val="0.79049334782664626"/>
          <c:h val="0.72708536736778551"/>
        </c:manualLayout>
      </c:layout>
      <c:scatterChart>
        <c:scatterStyle val="lineMarker"/>
        <c:varyColors val="0"/>
        <c:ser>
          <c:idx val="0"/>
          <c:order val="0"/>
          <c:tx>
            <c:v>回帰曲線</c:v>
          </c:tx>
          <c:spPr>
            <a:ln w="19050" cap="rnd">
              <a:solidFill>
                <a:schemeClr val="accent1"/>
              </a:solidFill>
              <a:round/>
            </a:ln>
            <a:effectLst/>
          </c:spPr>
          <c:marker>
            <c:symbol val="none"/>
          </c:marker>
          <c:xVal>
            <c:numRef>
              <c:f>'C3'!$BJ$14:$BJ$1013</c:f>
              <c:numCache>
                <c:formatCode>General</c:formatCode>
                <c:ptCount val="1000"/>
                <c:pt idx="0">
                  <c:v>14.842300559999998</c:v>
                </c:pt>
                <c:pt idx="1">
                  <c:v>60.853432284399986</c:v>
                </c:pt>
                <c:pt idx="2">
                  <c:v>106.86456400879997</c:v>
                </c:pt>
                <c:pt idx="3">
                  <c:v>152.87569573320005</c:v>
                </c:pt>
                <c:pt idx="4">
                  <c:v>198.88682745760002</c:v>
                </c:pt>
                <c:pt idx="5">
                  <c:v>244.89795918199997</c:v>
                </c:pt>
                <c:pt idx="6">
                  <c:v>290.90909090639997</c:v>
                </c:pt>
                <c:pt idx="7">
                  <c:v>336.92022263079997</c:v>
                </c:pt>
                <c:pt idx="8">
                  <c:v>382.93135435519997</c:v>
                </c:pt>
                <c:pt idx="9">
                  <c:v>428.94248607959997</c:v>
                </c:pt>
                <c:pt idx="10">
                  <c:v>474.95361780399998</c:v>
                </c:pt>
                <c:pt idx="11">
                  <c:v>520.96474952839992</c:v>
                </c:pt>
                <c:pt idx="12">
                  <c:v>566.97588125280004</c:v>
                </c:pt>
                <c:pt idx="13">
                  <c:v>612.98701297720004</c:v>
                </c:pt>
                <c:pt idx="14">
                  <c:v>658.99814470159993</c:v>
                </c:pt>
                <c:pt idx="15">
                  <c:v>705.00927642599993</c:v>
                </c:pt>
                <c:pt idx="16">
                  <c:v>751.02040815040004</c:v>
                </c:pt>
                <c:pt idx="17">
                  <c:v>797.03153987480005</c:v>
                </c:pt>
                <c:pt idx="18">
                  <c:v>843.04267159919993</c:v>
                </c:pt>
                <c:pt idx="19">
                  <c:v>889.05380332360016</c:v>
                </c:pt>
                <c:pt idx="20">
                  <c:v>935.06493504799994</c:v>
                </c:pt>
                <c:pt idx="21">
                  <c:v>981.07606677240005</c:v>
                </c:pt>
                <c:pt idx="22">
                  <c:v>1027.0871984967998</c:v>
                </c:pt>
                <c:pt idx="23">
                  <c:v>1073.0983302211998</c:v>
                </c:pt>
                <c:pt idx="24">
                  <c:v>1119.1094619455998</c:v>
                </c:pt>
                <c:pt idx="25">
                  <c:v>1165.1205936700001</c:v>
                </c:pt>
                <c:pt idx="26">
                  <c:v>1211.1317253943998</c:v>
                </c:pt>
                <c:pt idx="27">
                  <c:v>1257.1428571188001</c:v>
                </c:pt>
                <c:pt idx="28">
                  <c:v>1303.1539888431998</c:v>
                </c:pt>
                <c:pt idx="29">
                  <c:v>1349.1651205676001</c:v>
                </c:pt>
                <c:pt idx="30">
                  <c:v>1395.1762522920001</c:v>
                </c:pt>
                <c:pt idx="31">
                  <c:v>1441.1873840164001</c:v>
                </c:pt>
                <c:pt idx="32">
                  <c:v>1487.1985157408003</c:v>
                </c:pt>
                <c:pt idx="33">
                  <c:v>1533.2096474652003</c:v>
                </c:pt>
                <c:pt idx="34">
                  <c:v>1579.2207791895999</c:v>
                </c:pt>
                <c:pt idx="35">
                  <c:v>1625.2319109139999</c:v>
                </c:pt>
                <c:pt idx="36">
                  <c:v>1671.2430426384001</c:v>
                </c:pt>
                <c:pt idx="37">
                  <c:v>1717.2541743628001</c:v>
                </c:pt>
                <c:pt idx="38">
                  <c:v>1763.2653060872003</c:v>
                </c:pt>
                <c:pt idx="39">
                  <c:v>1809.2764378116001</c:v>
                </c:pt>
                <c:pt idx="40">
                  <c:v>1855.2875695359999</c:v>
                </c:pt>
                <c:pt idx="41">
                  <c:v>1901.2987012604001</c:v>
                </c:pt>
                <c:pt idx="42">
                  <c:v>1947.3098329848001</c:v>
                </c:pt>
                <c:pt idx="43">
                  <c:v>1993.3209647092006</c:v>
                </c:pt>
                <c:pt idx="44">
                  <c:v>2039.3320964336001</c:v>
                </c:pt>
                <c:pt idx="45">
                  <c:v>2085.3432281580003</c:v>
                </c:pt>
                <c:pt idx="46">
                  <c:v>2131.3543598824003</c:v>
                </c:pt>
                <c:pt idx="47">
                  <c:v>2177.3654916068003</c:v>
                </c:pt>
                <c:pt idx="48">
                  <c:v>2223.3766233311999</c:v>
                </c:pt>
                <c:pt idx="49">
                  <c:v>2269.3877550556003</c:v>
                </c:pt>
                <c:pt idx="50">
                  <c:v>2315.3988867800003</c:v>
                </c:pt>
                <c:pt idx="51">
                  <c:v>2361.4100185043999</c:v>
                </c:pt>
                <c:pt idx="52">
                  <c:v>2407.4211502288003</c:v>
                </c:pt>
                <c:pt idx="53">
                  <c:v>2453.4322819531999</c:v>
                </c:pt>
                <c:pt idx="54">
                  <c:v>2499.4434136776003</c:v>
                </c:pt>
                <c:pt idx="55">
                  <c:v>2545.4545454019999</c:v>
                </c:pt>
                <c:pt idx="56">
                  <c:v>2591.4656771264004</c:v>
                </c:pt>
                <c:pt idx="57">
                  <c:v>2637.4768088507999</c:v>
                </c:pt>
                <c:pt idx="58">
                  <c:v>2683.4879405752004</c:v>
                </c:pt>
                <c:pt idx="59">
                  <c:v>2729.4990722996004</c:v>
                </c:pt>
                <c:pt idx="60">
                  <c:v>2775.5102040240008</c:v>
                </c:pt>
                <c:pt idx="61">
                  <c:v>2821.5213357484008</c:v>
                </c:pt>
                <c:pt idx="62">
                  <c:v>2867.5324674728008</c:v>
                </c:pt>
                <c:pt idx="63">
                  <c:v>2913.5435991971999</c:v>
                </c:pt>
                <c:pt idx="64">
                  <c:v>2959.5547309215999</c:v>
                </c:pt>
                <c:pt idx="65">
                  <c:v>3005.5658626460004</c:v>
                </c:pt>
                <c:pt idx="66">
                  <c:v>3051.5769943703999</c:v>
                </c:pt>
                <c:pt idx="67">
                  <c:v>3097.5881260947999</c:v>
                </c:pt>
                <c:pt idx="68">
                  <c:v>3143.5992578192004</c:v>
                </c:pt>
                <c:pt idx="69">
                  <c:v>3189.6103895436004</c:v>
                </c:pt>
                <c:pt idx="70">
                  <c:v>3235.6215212679999</c:v>
                </c:pt>
                <c:pt idx="71">
                  <c:v>3281.6326529924004</c:v>
                </c:pt>
                <c:pt idx="72">
                  <c:v>3327.6437847167995</c:v>
                </c:pt>
                <c:pt idx="73">
                  <c:v>3373.6549164411995</c:v>
                </c:pt>
                <c:pt idx="74">
                  <c:v>3419.6660481655999</c:v>
                </c:pt>
                <c:pt idx="75">
                  <c:v>3465.6771798899999</c:v>
                </c:pt>
                <c:pt idx="76">
                  <c:v>3511.6883116143999</c:v>
                </c:pt>
                <c:pt idx="77">
                  <c:v>3557.6994433388004</c:v>
                </c:pt>
                <c:pt idx="78">
                  <c:v>3603.7105750631995</c:v>
                </c:pt>
                <c:pt idx="79">
                  <c:v>3649.7217067876004</c:v>
                </c:pt>
                <c:pt idx="80">
                  <c:v>3695.7328385120004</c:v>
                </c:pt>
                <c:pt idx="81">
                  <c:v>3741.7439702363995</c:v>
                </c:pt>
                <c:pt idx="82">
                  <c:v>3787.7551019607995</c:v>
                </c:pt>
                <c:pt idx="83">
                  <c:v>3833.7662336852004</c:v>
                </c:pt>
                <c:pt idx="84">
                  <c:v>3879.7773654096004</c:v>
                </c:pt>
                <c:pt idx="85">
                  <c:v>3925.7884971339995</c:v>
                </c:pt>
                <c:pt idx="86">
                  <c:v>3971.7996288584</c:v>
                </c:pt>
                <c:pt idx="87">
                  <c:v>4017.8107605828</c:v>
                </c:pt>
                <c:pt idx="88">
                  <c:v>4063.8218923072</c:v>
                </c:pt>
                <c:pt idx="89">
                  <c:v>4109.8330240315991</c:v>
                </c:pt>
                <c:pt idx="90">
                  <c:v>4155.8441557559991</c:v>
                </c:pt>
                <c:pt idx="91">
                  <c:v>4201.8552874804</c:v>
                </c:pt>
                <c:pt idx="92">
                  <c:v>4247.8664192048018</c:v>
                </c:pt>
                <c:pt idx="93">
                  <c:v>4293.8775509292</c:v>
                </c:pt>
                <c:pt idx="94">
                  <c:v>4339.8886826536009</c:v>
                </c:pt>
                <c:pt idx="95">
                  <c:v>4385.8998143779991</c:v>
                </c:pt>
                <c:pt idx="96">
                  <c:v>4431.9109461024</c:v>
                </c:pt>
                <c:pt idx="97">
                  <c:v>4477.9220778268</c:v>
                </c:pt>
                <c:pt idx="98">
                  <c:v>4523.9332095512</c:v>
                </c:pt>
                <c:pt idx="99">
                  <c:v>4569.9443412756</c:v>
                </c:pt>
                <c:pt idx="100">
                  <c:v>4615.9554730000009</c:v>
                </c:pt>
              </c:numCache>
            </c:numRef>
          </c:xVal>
          <c:yVal>
            <c:numRef>
              <c:f>'C3'!$BI$14:$BI$1013</c:f>
              <c:numCache>
                <c:formatCode>General</c:formatCode>
                <c:ptCount val="1000"/>
                <c:pt idx="0">
                  <c:v>5.5779564294913335</c:v>
                </c:pt>
                <c:pt idx="1">
                  <c:v>5.8475587523334749</c:v>
                </c:pt>
                <c:pt idx="2">
                  <c:v>6.1217561435651682</c:v>
                </c:pt>
                <c:pt idx="3">
                  <c:v>6.4001518649301774</c:v>
                </c:pt>
                <c:pt idx="4">
                  <c:v>6.6823572420481234</c:v>
                </c:pt>
                <c:pt idx="5">
                  <c:v>6.967991664414483</c:v>
                </c:pt>
                <c:pt idx="6">
                  <c:v>7.256682585400589</c:v>
                </c:pt>
                <c:pt idx="7">
                  <c:v>7.5480655222536308</c:v>
                </c:pt>
                <c:pt idx="8">
                  <c:v>7.8417840560966514</c:v>
                </c:pt>
                <c:pt idx="9">
                  <c:v>8.1374898319285567</c:v>
                </c:pt>
                <c:pt idx="10">
                  <c:v>8.434842558624096</c:v>
                </c:pt>
                <c:pt idx="11">
                  <c:v>8.7335100089338891</c:v>
                </c:pt>
                <c:pt idx="12">
                  <c:v>9.0331680194844033</c:v>
                </c:pt>
                <c:pt idx="13">
                  <c:v>9.3335004907779613</c:v>
                </c:pt>
                <c:pt idx="14">
                  <c:v>9.6341993871927425</c:v>
                </c:pt>
                <c:pt idx="15">
                  <c:v>9.9349647369827832</c:v>
                </c:pt>
                <c:pt idx="16">
                  <c:v>10.235504632277985</c:v>
                </c:pt>
                <c:pt idx="17">
                  <c:v>10.535535229084084</c:v>
                </c:pt>
                <c:pt idx="18">
                  <c:v>10.834780747282693</c:v>
                </c:pt>
                <c:pt idx="19">
                  <c:v>11.132973470631271</c:v>
                </c:pt>
                <c:pt idx="20">
                  <c:v>11.429853746763131</c:v>
                </c:pt>
                <c:pt idx="21">
                  <c:v>11.725169987187449</c:v>
                </c:pt>
                <c:pt idx="22">
                  <c:v>12.018678667289251</c:v>
                </c:pt>
                <c:pt idx="23">
                  <c:v>12.310144326329427</c:v>
                </c:pt>
                <c:pt idx="24">
                  <c:v>12.59933956744471</c:v>
                </c:pt>
                <c:pt idx="25">
                  <c:v>12.886045057647701</c:v>
                </c:pt>
                <c:pt idx="26">
                  <c:v>13.170049527826849</c:v>
                </c:pt>
                <c:pt idx="27">
                  <c:v>13.451149772746467</c:v>
                </c:pt>
                <c:pt idx="28">
                  <c:v>13.729150651046711</c:v>
                </c:pt>
                <c:pt idx="29">
                  <c:v>14.003865085243607</c:v>
                </c:pt>
                <c:pt idx="30">
                  <c:v>14.275114061729033</c:v>
                </c:pt>
                <c:pt idx="31">
                  <c:v>14.542726630770721</c:v>
                </c:pt>
                <c:pt idx="32">
                  <c:v>14.806539906512253</c:v>
                </c:pt>
                <c:pt idx="33">
                  <c:v>15.066399066973077</c:v>
                </c:pt>
                <c:pt idx="34">
                  <c:v>15.322157354048493</c:v>
                </c:pt>
                <c:pt idx="35">
                  <c:v>15.573676073509656</c:v>
                </c:pt>
                <c:pt idx="36">
                  <c:v>15.820824595003582</c:v>
                </c:pt>
                <c:pt idx="37">
                  <c:v>16.063480352053134</c:v>
                </c:pt>
                <c:pt idx="38">
                  <c:v>16.301528842057039</c:v>
                </c:pt>
                <c:pt idx="39">
                  <c:v>16.534863626289873</c:v>
                </c:pt>
                <c:pt idx="40">
                  <c:v>16.763386329902072</c:v>
                </c:pt>
                <c:pt idx="41">
                  <c:v>16.987006641919937</c:v>
                </c:pt>
                <c:pt idx="42">
                  <c:v>17.205642315245598</c:v>
                </c:pt>
                <c:pt idx="43">
                  <c:v>17.419219166657083</c:v>
                </c:pt>
                <c:pt idx="44">
                  <c:v>17.627671076808223</c:v>
                </c:pt>
                <c:pt idx="45">
                  <c:v>17.83093999022876</c:v>
                </c:pt>
                <c:pt idx="46">
                  <c:v>18.028975915324249</c:v>
                </c:pt>
                <c:pt idx="47">
                  <c:v>18.22173692437612</c:v>
                </c:pt>
                <c:pt idx="48">
                  <c:v>18.409189153541664</c:v>
                </c:pt>
                <c:pt idx="49">
                  <c:v>18.591306802854017</c:v>
                </c:pt>
                <c:pt idx="50">
                  <c:v>18.768072136222173</c:v>
                </c:pt>
                <c:pt idx="51">
                  <c:v>18.939475481430986</c:v>
                </c:pt>
                <c:pt idx="52">
                  <c:v>19.105515230141155</c:v>
                </c:pt>
                <c:pt idx="53">
                  <c:v>19.266197837889255</c:v>
                </c:pt>
                <c:pt idx="54">
                  <c:v>19.421537824087693</c:v>
                </c:pt>
                <c:pt idx="55">
                  <c:v>19.571557772024754</c:v>
                </c:pt>
                <c:pt idx="56">
                  <c:v>19.716288328864572</c:v>
                </c:pt>
                <c:pt idx="57">
                  <c:v>19.855768205647127</c:v>
                </c:pt>
                <c:pt idx="58">
                  <c:v>19.990044177288258</c:v>
                </c:pt>
                <c:pt idx="59">
                  <c:v>20.119171082579676</c:v>
                </c:pt>
                <c:pt idx="60">
                  <c:v>20.243211824188929</c:v>
                </c:pt>
                <c:pt idx="61">
                  <c:v>20.362237368659425</c:v>
                </c:pt>
                <c:pt idx="62">
                  <c:v>20.476326746410443</c:v>
                </c:pt>
                <c:pt idx="63">
                  <c:v>20.58556705173709</c:v>
                </c:pt>
                <c:pt idx="64">
                  <c:v>20.690053442810356</c:v>
                </c:pt>
                <c:pt idx="65">
                  <c:v>20.789889141677076</c:v>
                </c:pt>
                <c:pt idx="66">
                  <c:v>20.885185434259935</c:v>
                </c:pt>
                <c:pt idx="67">
                  <c:v>20.976061670357492</c:v>
                </c:pt>
                <c:pt idx="68">
                  <c:v>21.062645263644132</c:v>
                </c:pt>
                <c:pt idx="69">
                  <c:v>21.145071691670122</c:v>
                </c:pt>
                <c:pt idx="70">
                  <c:v>21.223484495861587</c:v>
                </c:pt>
                <c:pt idx="71">
                  <c:v>21.298035281520473</c:v>
                </c:pt>
                <c:pt idx="72">
                  <c:v>21.368883717824641</c:v>
                </c:pt>
                <c:pt idx="73">
                  <c:v>21.436197537827734</c:v>
                </c:pt>
                <c:pt idx="74">
                  <c:v>21.500152538459332</c:v>
                </c:pt>
                <c:pt idx="75">
                  <c:v>21.560932580524803</c:v>
                </c:pt>
                <c:pt idx="76">
                  <c:v>21.618729588705403</c:v>
                </c:pt>
                <c:pt idx="77">
                  <c:v>21.673743551558239</c:v>
                </c:pt>
                <c:pt idx="78">
                  <c:v>21.726182521516268</c:v>
                </c:pt>
                <c:pt idx="79">
                  <c:v>21.776262614888324</c:v>
                </c:pt>
                <c:pt idx="80">
                  <c:v>21.824208011859056</c:v>
                </c:pt>
                <c:pt idx="81">
                  <c:v>21.870250956489031</c:v>
                </c:pt>
                <c:pt idx="82">
                  <c:v>21.914631756714609</c:v>
                </c:pt>
                <c:pt idx="83">
                  <c:v>21.957598784348026</c:v>
                </c:pt>
                <c:pt idx="84">
                  <c:v>21.999408475077406</c:v>
                </c:pt>
                <c:pt idx="85">
                  <c:v>22.040325328466682</c:v>
                </c:pt>
                <c:pt idx="86">
                  <c:v>22.080621907955674</c:v>
                </c:pt>
                <c:pt idx="87">
                  <c:v>22.120578840860045</c:v>
                </c:pt>
                <c:pt idx="88">
                  <c:v>22.160484818371316</c:v>
                </c:pt>
                <c:pt idx="89">
                  <c:v>22.200636595556883</c:v>
                </c:pt>
                <c:pt idx="90">
                  <c:v>22.241338991359939</c:v>
                </c:pt>
                <c:pt idx="91">
                  <c:v>22.282904888599617</c:v>
                </c:pt>
                <c:pt idx="92">
                  <c:v>22.325655233970839</c:v>
                </c:pt>
                <c:pt idx="93">
                  <c:v>22.369919038044419</c:v>
                </c:pt>
                <c:pt idx="94">
                  <c:v>22.416033375267009</c:v>
                </c:pt>
                <c:pt idx="95">
                  <c:v>22.464343383961111</c:v>
                </c:pt>
                <c:pt idx="96">
                  <c:v>22.515202266325122</c:v>
                </c:pt>
                <c:pt idx="97">
                  <c:v>22.568971288433264</c:v>
                </c:pt>
                <c:pt idx="98">
                  <c:v>22.626019780235584</c:v>
                </c:pt>
                <c:pt idx="99">
                  <c:v>22.686725135558053</c:v>
                </c:pt>
                <c:pt idx="100">
                  <c:v>22.751472812102442</c:v>
                </c:pt>
              </c:numCache>
            </c:numRef>
          </c:yVal>
          <c:smooth val="0"/>
          <c:extLst>
            <c:ext xmlns:c16="http://schemas.microsoft.com/office/drawing/2014/chart" uri="{C3380CC4-5D6E-409C-BE32-E72D297353CC}">
              <c16:uniqueId val="{00000000-1EF6-4177-B494-D3D3E01E1C4F}"/>
            </c:ext>
          </c:extLst>
        </c:ser>
        <c:dLbls>
          <c:showLegendKey val="0"/>
          <c:showVal val="0"/>
          <c:showCatName val="0"/>
          <c:showSerName val="0"/>
          <c:showPercent val="0"/>
          <c:showBubbleSize val="0"/>
        </c:dLbls>
        <c:axId val="1866239839"/>
        <c:axId val="1705784463"/>
        <c:extLst>
          <c:ext xmlns:c15="http://schemas.microsoft.com/office/drawing/2012/chart" uri="{02D57815-91ED-43cb-92C2-25804820EDAC}">
            <c15:filteredScatterSeries>
              <c15:ser>
                <c:idx val="1"/>
                <c:order val="1"/>
                <c:tx>
                  <c:v>サンプルデータ</c:v>
                </c:tx>
                <c:spPr>
                  <a:ln w="19050" cap="rnd">
                    <a:noFill/>
                    <a:round/>
                  </a:ln>
                  <a:effectLst/>
                </c:spPr>
                <c:marker>
                  <c:symbol val="circle"/>
                  <c:size val="8"/>
                  <c:spPr>
                    <a:noFill/>
                    <a:ln w="9525">
                      <a:solidFill>
                        <a:schemeClr val="accent1"/>
                      </a:solidFill>
                    </a:ln>
                    <a:effectLst/>
                  </c:spPr>
                </c:marker>
                <c:xVal>
                  <c:numRef>
                    <c:extLst>
                      <c:ext uri="{02D57815-91ED-43cb-92C2-25804820EDAC}">
                        <c15:formulaRef>
                          <c15:sqref>'C3'!$BQ$14:$BQ$1013</c15:sqref>
                        </c15:formulaRef>
                      </c:ext>
                    </c:extLst>
                    <c:numCache>
                      <c:formatCode>General</c:formatCode>
                      <c:ptCount val="1000"/>
                      <c:pt idx="0">
                        <c:v>14.842300559999998</c:v>
                      </c:pt>
                      <c:pt idx="1">
                        <c:v>126.15955470000002</c:v>
                      </c:pt>
                      <c:pt idx="2">
                        <c:v>267.16140999999999</c:v>
                      </c:pt>
                      <c:pt idx="3">
                        <c:v>385.89981449999999</c:v>
                      </c:pt>
                      <c:pt idx="4">
                        <c:v>526.90166980000004</c:v>
                      </c:pt>
                      <c:pt idx="5">
                        <c:v>675.32467529999997</c:v>
                      </c:pt>
                      <c:pt idx="6">
                        <c:v>816.32653059999996</c:v>
                      </c:pt>
                      <c:pt idx="7">
                        <c:v>979.59183670000016</c:v>
                      </c:pt>
                      <c:pt idx="8">
                        <c:v>1105.7513910000002</c:v>
                      </c:pt>
                      <c:pt idx="9">
                        <c:v>1269.0166979999999</c:v>
                      </c:pt>
                      <c:pt idx="10">
                        <c:v>1461.9666050000003</c:v>
                      </c:pt>
                      <c:pt idx="11">
                        <c:v>1632.653061</c:v>
                      </c:pt>
                      <c:pt idx="12">
                        <c:v>1803.3395179999998</c:v>
                      </c:pt>
                      <c:pt idx="13">
                        <c:v>1966.6048240000002</c:v>
                      </c:pt>
                      <c:pt idx="14">
                        <c:v>2159.5547310000002</c:v>
                      </c:pt>
                      <c:pt idx="15">
                        <c:v>2322.8200370000004</c:v>
                      </c:pt>
                      <c:pt idx="16">
                        <c:v>2463.8218919999999</c:v>
                      </c:pt>
                      <c:pt idx="17">
                        <c:v>2589.9814470000001</c:v>
                      </c:pt>
                      <c:pt idx="18">
                        <c:v>2701.2987010000006</c:v>
                      </c:pt>
                      <c:pt idx="19">
                        <c:v>2812.6159550000007</c:v>
                      </c:pt>
                      <c:pt idx="20">
                        <c:v>2961.0389610000007</c:v>
                      </c:pt>
                      <c:pt idx="21">
                        <c:v>3116.8831170000003</c:v>
                      </c:pt>
                      <c:pt idx="22">
                        <c:v>3287.5695730000007</c:v>
                      </c:pt>
                      <c:pt idx="23">
                        <c:v>3480.5194810000003</c:v>
                      </c:pt>
                      <c:pt idx="24">
                        <c:v>3643.7847869999991</c:v>
                      </c:pt>
                      <c:pt idx="25">
                        <c:v>3784.7866420000005</c:v>
                      </c:pt>
                      <c:pt idx="26">
                        <c:v>3955.4730979999995</c:v>
                      </c:pt>
                      <c:pt idx="27">
                        <c:v>4141.0018550000004</c:v>
                      </c:pt>
                      <c:pt idx="28">
                        <c:v>4267.1614100000006</c:v>
                      </c:pt>
                      <c:pt idx="29">
                        <c:v>4408.163265000002</c:v>
                      </c:pt>
                      <c:pt idx="30">
                        <c:v>4541.7439700000004</c:v>
                      </c:pt>
                      <c:pt idx="31">
                        <c:v>4615.9554730000009</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extLst>
                      <c:ext uri="{02D57815-91ED-43cb-92C2-25804820EDAC}">
                        <c15:formulaRef>
                          <c15:sqref>'C3'!$BP$14:$BP$1013</c15:sqref>
                        </c15:formulaRef>
                      </c:ext>
                    </c:extLst>
                    <c:numCache>
                      <c:formatCode>General</c:formatCode>
                      <c:ptCount val="1000"/>
                      <c:pt idx="0">
                        <c:v>5.6744186049999996</c:v>
                      </c:pt>
                      <c:pt idx="1">
                        <c:v>6.2325581400000001</c:v>
                      </c:pt>
                      <c:pt idx="2">
                        <c:v>7.1627906979999993</c:v>
                      </c:pt>
                      <c:pt idx="3">
                        <c:v>7.6279069769999994</c:v>
                      </c:pt>
                      <c:pt idx="4">
                        <c:v>8.7441860470000012</c:v>
                      </c:pt>
                      <c:pt idx="5">
                        <c:v>9.7674418599999999</c:v>
                      </c:pt>
                      <c:pt idx="6">
                        <c:v>10.69767442</c:v>
                      </c:pt>
                      <c:pt idx="7">
                        <c:v>11.627906980000001</c:v>
                      </c:pt>
                      <c:pt idx="8">
                        <c:v>12.651162790000001</c:v>
                      </c:pt>
                      <c:pt idx="9">
                        <c:v>13.488372089999999</c:v>
                      </c:pt>
                      <c:pt idx="10">
                        <c:v>14.604651159999996</c:v>
                      </c:pt>
                      <c:pt idx="11">
                        <c:v>15.627906980000001</c:v>
                      </c:pt>
                      <c:pt idx="12">
                        <c:v>16.744186049999996</c:v>
                      </c:pt>
                      <c:pt idx="13">
                        <c:v>17.302325580000002</c:v>
                      </c:pt>
                      <c:pt idx="14">
                        <c:v>18.139534879999999</c:v>
                      </c:pt>
                      <c:pt idx="15">
                        <c:v>18.790697670000004</c:v>
                      </c:pt>
                      <c:pt idx="16">
                        <c:v>19.069767440000003</c:v>
                      </c:pt>
                      <c:pt idx="17">
                        <c:v>19.813953489999999</c:v>
                      </c:pt>
                      <c:pt idx="18">
                        <c:v>20.093023259999999</c:v>
                      </c:pt>
                      <c:pt idx="19">
                        <c:v>20.279069769999996</c:v>
                      </c:pt>
                      <c:pt idx="20">
                        <c:v>20.651162790000001</c:v>
                      </c:pt>
                      <c:pt idx="21">
                        <c:v>21.023255809999998</c:v>
                      </c:pt>
                      <c:pt idx="22">
                        <c:v>21.302325580000002</c:v>
                      </c:pt>
                      <c:pt idx="23">
                        <c:v>21.488372089999995</c:v>
                      </c:pt>
                      <c:pt idx="24">
                        <c:v>21.767441860000002</c:v>
                      </c:pt>
                      <c:pt idx="25">
                        <c:v>21.953488369999999</c:v>
                      </c:pt>
                      <c:pt idx="26">
                        <c:v>22.139534879999996</c:v>
                      </c:pt>
                      <c:pt idx="27">
                        <c:v>22.232558139999998</c:v>
                      </c:pt>
                      <c:pt idx="28">
                        <c:v>22.325581400000001</c:v>
                      </c:pt>
                      <c:pt idx="29">
                        <c:v>22.604651159999996</c:v>
                      </c:pt>
                      <c:pt idx="30">
                        <c:v>22.697674419999998</c:v>
                      </c:pt>
                      <c:pt idx="31">
                        <c:v>22.604651159999996</c:v>
                      </c:pt>
                    </c:numCache>
                  </c:numRef>
                </c:yVal>
                <c:smooth val="0"/>
                <c:extLst>
                  <c:ext xmlns:c16="http://schemas.microsoft.com/office/drawing/2014/chart" uri="{C3380CC4-5D6E-409C-BE32-E72D297353CC}">
                    <c16:uniqueId val="{00000001-1EF6-4177-B494-D3D3E01E1C4F}"/>
                  </c:ext>
                </c:extLst>
              </c15:ser>
            </c15:filteredScatterSeries>
          </c:ext>
        </c:extLst>
      </c:scatterChart>
      <c:scatterChart>
        <c:scatterStyle val="lineMarker"/>
        <c:varyColors val="0"/>
        <c:ser>
          <c:idx val="2"/>
          <c:order val="2"/>
          <c:tx>
            <c:v>定格流量</c:v>
          </c:tx>
          <c:spPr>
            <a:ln w="19050" cap="rnd">
              <a:solidFill>
                <a:srgbClr val="FF0000"/>
              </a:solidFill>
              <a:prstDash val="sysDot"/>
              <a:round/>
            </a:ln>
            <a:effectLst/>
          </c:spPr>
          <c:marker>
            <c:symbol val="none"/>
          </c:marker>
          <c:xVal>
            <c:numRef>
              <c:f>'C3'!$BU$14:$BU$15</c:f>
              <c:numCache>
                <c:formatCode>General</c:formatCode>
                <c:ptCount val="2"/>
                <c:pt idx="0">
                  <c:v>2550</c:v>
                </c:pt>
                <c:pt idx="1">
                  <c:v>2550</c:v>
                </c:pt>
              </c:numCache>
            </c:numRef>
          </c:xVal>
          <c:yVal>
            <c:numRef>
              <c:f>'C3'!$BT$14:$BT$15</c:f>
              <c:numCache>
                <c:formatCode>General</c:formatCode>
                <c:ptCount val="2"/>
                <c:pt idx="0">
                  <c:v>0</c:v>
                </c:pt>
                <c:pt idx="1">
                  <c:v>1</c:v>
                </c:pt>
              </c:numCache>
            </c:numRef>
          </c:yVal>
          <c:smooth val="0"/>
          <c:extLst>
            <c:ext xmlns:c16="http://schemas.microsoft.com/office/drawing/2014/chart" uri="{C3380CC4-5D6E-409C-BE32-E72D297353CC}">
              <c16:uniqueId val="{00000002-1EF6-4177-B494-D3D3E01E1C4F}"/>
            </c:ext>
          </c:extLst>
        </c:ser>
        <c:dLbls>
          <c:showLegendKey val="0"/>
          <c:showVal val="0"/>
          <c:showCatName val="0"/>
          <c:showSerName val="0"/>
          <c:showPercent val="0"/>
          <c:showBubbleSize val="0"/>
        </c:dLbls>
        <c:axId val="234520895"/>
        <c:axId val="234508991"/>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strRef>
              <c:f>'C3'!$BJ$13</c:f>
              <c:strCache>
                <c:ptCount val="1"/>
                <c:pt idx="0">
                  <c:v>L/s</c:v>
                </c:pt>
              </c:strCache>
            </c:strRef>
          </c:tx>
          <c:layout>
            <c:manualLayout>
              <c:xMode val="edge"/>
              <c:yMode val="edge"/>
              <c:x val="0.52095264603364"/>
              <c:y val="0.91844909223276316"/>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strRef>
              <c:f>'C3'!$BI$13</c:f>
              <c:strCache>
                <c:ptCount val="1"/>
                <c:pt idx="0">
                  <c:v>kW</c:v>
                </c:pt>
              </c:strCache>
            </c:strRef>
          </c:tx>
          <c:layout>
            <c:manualLayout>
              <c:xMode val="edge"/>
              <c:yMode val="edge"/>
              <c:x val="1.8054630096849666E-2"/>
              <c:y val="0.40363685360031154"/>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valAx>
        <c:axId val="234508991"/>
        <c:scaling>
          <c:orientation val="minMax"/>
          <c:max val="1"/>
        </c:scaling>
        <c:delete val="0"/>
        <c:axPos val="r"/>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4520895"/>
        <c:crosses val="max"/>
        <c:crossBetween val="midCat"/>
      </c:valAx>
      <c:valAx>
        <c:axId val="234520895"/>
        <c:scaling>
          <c:orientation val="minMax"/>
        </c:scaling>
        <c:delete val="1"/>
        <c:axPos val="b"/>
        <c:numFmt formatCode="General" sourceLinked="1"/>
        <c:majorTickMark val="out"/>
        <c:minorTickMark val="none"/>
        <c:tickLblPos val="nextTo"/>
        <c:crossAx val="234508991"/>
        <c:crosses val="autoZero"/>
        <c:crossBetween val="midCat"/>
      </c:valAx>
      <c:spPr>
        <a:solidFill>
          <a:schemeClr val="bg1"/>
        </a:solidFill>
        <a:ln>
          <a:noFill/>
        </a:ln>
        <a:effectLst/>
      </c:spPr>
    </c:plotArea>
    <c:legend>
      <c:legendPos val="t"/>
      <c:legendEntry>
        <c:idx val="0"/>
        <c:delete val="1"/>
      </c:legendEntry>
      <c:layout>
        <c:manualLayout>
          <c:xMode val="edge"/>
          <c:yMode val="edge"/>
          <c:x val="0.15616776166328125"/>
          <c:y val="8.23045267489712E-3"/>
          <c:w val="0.78927034691444964"/>
          <c:h val="8.2433420056097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616156266135772"/>
          <c:y val="0.11882527184101987"/>
          <c:w val="0.7800422125104467"/>
          <c:h val="0.72081927259092604"/>
        </c:manualLayout>
      </c:layout>
      <c:scatterChart>
        <c:scatterStyle val="lineMarker"/>
        <c:varyColors val="0"/>
        <c:ser>
          <c:idx val="2"/>
          <c:order val="0"/>
          <c:tx>
            <c:v>推定末端・末端差圧(正味)</c:v>
          </c:tx>
          <c:spPr>
            <a:ln w="25400" cap="rnd">
              <a:noFill/>
              <a:round/>
            </a:ln>
            <a:effectLst/>
          </c:spPr>
          <c:marker>
            <c:symbol val="circle"/>
            <c:size val="4"/>
            <c:spPr>
              <a:solidFill>
                <a:schemeClr val="accent2"/>
              </a:solidFill>
              <a:ln w="9525">
                <a:solidFill>
                  <a:schemeClr val="accent2"/>
                </a:solidFill>
              </a:ln>
              <a:effectLst/>
            </c:spPr>
          </c:marker>
          <c:trendline>
            <c:spPr>
              <a:ln w="12700" cap="rnd">
                <a:solidFill>
                  <a:schemeClr val="accent2"/>
                </a:solidFill>
                <a:prstDash val="solid"/>
              </a:ln>
              <a:effectLst/>
            </c:spPr>
            <c:trendlineType val="poly"/>
            <c:order val="3"/>
            <c:dispRSqr val="0"/>
            <c:dispEq val="0"/>
          </c:trendline>
          <c:xVal>
            <c:numRef>
              <c:f>'3次式係数計算過程'!$AK$13:$AK$22</c:f>
              <c:numCache>
                <c:formatCode>0.0_);[Red]\(0.0\)</c:formatCode>
                <c:ptCount val="10"/>
                <c:pt idx="0">
                  <c:v>4590</c:v>
                </c:pt>
                <c:pt idx="1">
                  <c:v>9180</c:v>
                </c:pt>
                <c:pt idx="2">
                  <c:v>13770</c:v>
                </c:pt>
                <c:pt idx="3">
                  <c:v>18360</c:v>
                </c:pt>
                <c:pt idx="4">
                  <c:v>22950</c:v>
                </c:pt>
                <c:pt idx="5">
                  <c:v>27540</c:v>
                </c:pt>
                <c:pt idx="6">
                  <c:v>32130</c:v>
                </c:pt>
                <c:pt idx="7">
                  <c:v>36720</c:v>
                </c:pt>
                <c:pt idx="8">
                  <c:v>41310</c:v>
                </c:pt>
                <c:pt idx="9">
                  <c:v>45900</c:v>
                </c:pt>
              </c:numCache>
            </c:numRef>
          </c:xVal>
          <c:yVal>
            <c:numRef>
              <c:f>'3次式係数計算過程'!$AT$13:$AT$22</c:f>
              <c:numCache>
                <c:formatCode>#,##0.00_);[Red]\(#,##0.00\)</c:formatCode>
                <c:ptCount val="10"/>
                <c:pt idx="0">
                  <c:v>1.7928455310529032E-2</c:v>
                </c:pt>
                <c:pt idx="1">
                  <c:v>5.0953966267714375E-2</c:v>
                </c:pt>
                <c:pt idx="2">
                  <c:v>8.1537286940065276E-2</c:v>
                </c:pt>
                <c:pt idx="3">
                  <c:v>0.13238786770886268</c:v>
                </c:pt>
                <c:pt idx="4">
                  <c:v>0.18100689900448549</c:v>
                </c:pt>
                <c:pt idx="5">
                  <c:v>0.24799293516391971</c:v>
                </c:pt>
                <c:pt idx="6">
                  <c:v>0.31625122403531858</c:v>
                </c:pt>
                <c:pt idx="7">
                  <c:v>0.39955621458220181</c:v>
                </c:pt>
                <c:pt idx="8">
                  <c:v>0.48800804928251723</c:v>
                </c:pt>
                <c:pt idx="9">
                  <c:v>0.58803989364413145</c:v>
                </c:pt>
              </c:numCache>
            </c:numRef>
          </c:yVal>
          <c:smooth val="0"/>
          <c:extLst>
            <c:ext xmlns:c16="http://schemas.microsoft.com/office/drawing/2014/chart" uri="{C3380CC4-5D6E-409C-BE32-E72D297353CC}">
              <c16:uniqueId val="{00000001-A398-49CA-ABBF-CBBF09E2F86A}"/>
            </c:ext>
          </c:extLst>
        </c:ser>
        <c:dLbls>
          <c:showLegendKey val="0"/>
          <c:showVal val="0"/>
          <c:showCatName val="0"/>
          <c:showSerName val="0"/>
          <c:showPercent val="0"/>
          <c:showBubbleSize val="0"/>
        </c:dLbls>
        <c:axId val="455223263"/>
        <c:axId val="604715951"/>
        <c:extLst/>
      </c:scatterChart>
      <c:valAx>
        <c:axId val="45522326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t>流量</a:t>
                </a:r>
                <a:r>
                  <a:rPr lang="en-US"/>
                  <a:t>[m3/h]</a:t>
                </a:r>
                <a:endParaRPr lang="ja-JP"/>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Red]\(#,##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4715951"/>
        <c:crosses val="autoZero"/>
        <c:crossBetween val="midCat"/>
      </c:valAx>
      <c:valAx>
        <c:axId val="604715951"/>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t>消費電力</a:t>
                </a:r>
                <a:r>
                  <a:rPr lang="en-US"/>
                  <a:t>[kW]</a:t>
                </a:r>
                <a:endParaRPr lang="ja-JP"/>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Red]\(#,##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5223263"/>
        <c:crosses val="autoZero"/>
        <c:crossBetween val="midCat"/>
      </c:valAx>
      <c:spPr>
        <a:noFill/>
        <a:ln>
          <a:noFill/>
        </a:ln>
        <a:effectLst/>
      </c:spPr>
    </c:plotArea>
    <c:legend>
      <c:legendPos val="r"/>
      <c:legendEntry>
        <c:idx val="1"/>
        <c:delete val="1"/>
      </c:legendEntry>
      <c:layout>
        <c:manualLayout>
          <c:xMode val="edge"/>
          <c:yMode val="edge"/>
          <c:x val="0"/>
          <c:y val="2.602341373994932E-3"/>
          <c:w val="1"/>
          <c:h val="8.787401574803149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616156266135772"/>
          <c:y val="0.11882527184101987"/>
          <c:w val="0.7800422125104467"/>
          <c:h val="0.72081927259092604"/>
        </c:manualLayout>
      </c:layout>
      <c:scatterChart>
        <c:scatterStyle val="lineMarker"/>
        <c:varyColors val="0"/>
        <c:ser>
          <c:idx val="2"/>
          <c:order val="0"/>
          <c:tx>
            <c:v>推定末端・末端差圧(正味)</c:v>
          </c:tx>
          <c:spPr>
            <a:ln w="25400" cap="rnd">
              <a:noFill/>
              <a:round/>
            </a:ln>
            <a:effectLst/>
          </c:spPr>
          <c:marker>
            <c:symbol val="circle"/>
            <c:size val="4"/>
            <c:spPr>
              <a:solidFill>
                <a:schemeClr val="accent2"/>
              </a:solidFill>
              <a:ln w="9525">
                <a:solidFill>
                  <a:schemeClr val="accent2"/>
                </a:solidFill>
              </a:ln>
              <a:effectLst/>
            </c:spPr>
          </c:marker>
          <c:trendline>
            <c:spPr>
              <a:ln w="12700" cap="rnd">
                <a:solidFill>
                  <a:schemeClr val="accent2"/>
                </a:solidFill>
                <a:prstDash val="solid"/>
              </a:ln>
              <a:effectLst/>
            </c:spPr>
            <c:trendlineType val="poly"/>
            <c:order val="3"/>
            <c:dispRSqr val="0"/>
            <c:dispEq val="0"/>
          </c:trendline>
          <c:xVal>
            <c:numRef>
              <c:f>'VWV設計計算_パラメータ設定_運転点設定(改)'!$I$22:$I$31</c:f>
              <c:numCache>
                <c:formatCode>0.0_);[Red]\(0.0\)</c:formatCode>
                <c:ptCount val="10"/>
                <c:pt idx="0">
                  <c:v>76.5</c:v>
                </c:pt>
                <c:pt idx="1">
                  <c:v>153</c:v>
                </c:pt>
                <c:pt idx="2">
                  <c:v>229.5</c:v>
                </c:pt>
                <c:pt idx="3">
                  <c:v>306</c:v>
                </c:pt>
                <c:pt idx="4">
                  <c:v>382.5</c:v>
                </c:pt>
                <c:pt idx="5">
                  <c:v>459</c:v>
                </c:pt>
                <c:pt idx="6">
                  <c:v>535.5</c:v>
                </c:pt>
                <c:pt idx="7">
                  <c:v>612</c:v>
                </c:pt>
                <c:pt idx="8">
                  <c:v>688.5</c:v>
                </c:pt>
                <c:pt idx="9">
                  <c:v>765</c:v>
                </c:pt>
              </c:numCache>
            </c:numRef>
          </c:xVal>
          <c:yVal>
            <c:numRef>
              <c:f>'VWV設計計算_パラメータ設定_運転点設定(改)'!$R$22:$R$31</c:f>
              <c:numCache>
                <c:formatCode>#,##0.00_);[Red]\(#,##0.00\)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0D8A-457E-998E-C03030C9A531}"/>
            </c:ext>
          </c:extLst>
        </c:ser>
        <c:dLbls>
          <c:showLegendKey val="0"/>
          <c:showVal val="0"/>
          <c:showCatName val="0"/>
          <c:showSerName val="0"/>
          <c:showPercent val="0"/>
          <c:showBubbleSize val="0"/>
        </c:dLbls>
        <c:axId val="455223263"/>
        <c:axId val="604715951"/>
        <c:extLst/>
      </c:scatterChart>
      <c:valAx>
        <c:axId val="45522326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t>流量</a:t>
                </a:r>
                <a:r>
                  <a:rPr lang="en-US"/>
                  <a:t>[m3/h]</a:t>
                </a:r>
                <a:endParaRPr lang="ja-JP"/>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Red]\(#,##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4715951"/>
        <c:crosses val="autoZero"/>
        <c:crossBetween val="midCat"/>
      </c:valAx>
      <c:valAx>
        <c:axId val="604715951"/>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t>消費電力</a:t>
                </a:r>
                <a:r>
                  <a:rPr lang="en-US"/>
                  <a:t>[kW]</a:t>
                </a:r>
                <a:endParaRPr lang="ja-JP"/>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Red]\(#,##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5223263"/>
        <c:crosses val="autoZero"/>
        <c:crossBetween val="midCat"/>
      </c:valAx>
      <c:spPr>
        <a:noFill/>
        <a:ln>
          <a:noFill/>
        </a:ln>
        <a:effectLst/>
      </c:spPr>
    </c:plotArea>
    <c:legend>
      <c:legendPos val="r"/>
      <c:legendEntry>
        <c:idx val="1"/>
        <c:delete val="1"/>
      </c:legendEntry>
      <c:layout>
        <c:manualLayout>
          <c:xMode val="edge"/>
          <c:yMode val="edge"/>
          <c:x val="0"/>
          <c:y val="2.602341373994932E-3"/>
          <c:w val="1"/>
          <c:h val="8.787401574803149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14933225018719"/>
          <c:y val="7.0512820512820512E-2"/>
          <c:w val="0.73736707398834311"/>
          <c:h val="0.72226388368120653"/>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3.539016914371098E-2"/>
                  <c:y val="2.2382618839311753E-3"/>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trendlineLbl>
          </c:trendline>
          <c:xVal>
            <c:numRef>
              <c:f>'VWV設計計算_パラメータ設定_運転点設定(改)'!$H$8:$H$9</c:f>
              <c:numCache>
                <c:formatCode>General</c:formatCode>
                <c:ptCount val="2"/>
                <c:pt idx="0">
                  <c:v>0</c:v>
                </c:pt>
                <c:pt idx="1">
                  <c:v>765</c:v>
                </c:pt>
              </c:numCache>
            </c:numRef>
          </c:xVal>
          <c:yVal>
            <c:numRef>
              <c:f>'VWV設計計算_パラメータ設定_運転点設定(改)'!$I$8:$I$9</c:f>
              <c:numCache>
                <c:formatCode>0.0</c:formatCode>
                <c:ptCount val="2"/>
                <c:pt idx="0" formatCode="0">
                  <c:v>50</c:v>
                </c:pt>
                <c:pt idx="1">
                  <c:v>219.52</c:v>
                </c:pt>
              </c:numCache>
            </c:numRef>
          </c:yVal>
          <c:smooth val="0"/>
          <c:extLst>
            <c:ext xmlns:c16="http://schemas.microsoft.com/office/drawing/2014/chart" uri="{C3380CC4-5D6E-409C-BE32-E72D297353CC}">
              <c16:uniqueId val="{00000001-FAB6-4B2C-9B1A-C63BEF0040AB}"/>
            </c:ext>
          </c:extLst>
        </c:ser>
        <c:dLbls>
          <c:showLegendKey val="0"/>
          <c:showVal val="0"/>
          <c:showCatName val="0"/>
          <c:showSerName val="0"/>
          <c:showPercent val="0"/>
          <c:showBubbleSize val="0"/>
        </c:dLbls>
        <c:axId val="211267679"/>
        <c:axId val="286678015"/>
      </c:scatterChart>
      <c:valAx>
        <c:axId val="2112676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t>流量</a:t>
                </a:r>
                <a:r>
                  <a:rPr lang="en-US"/>
                  <a:t>[m3/h]</a:t>
                </a:r>
                <a:endParaRPr lang="ja-JP"/>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286678015"/>
        <c:crosses val="autoZero"/>
        <c:crossBetween val="midCat"/>
      </c:valAx>
      <c:valAx>
        <c:axId val="286678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t>差圧</a:t>
                </a:r>
                <a:r>
                  <a:rPr lang="en-US"/>
                  <a:t>[kPa]</a:t>
                </a:r>
                <a:endParaRPr lang="ja-JP"/>
              </a:p>
            </c:rich>
          </c:tx>
          <c:layout>
            <c:manualLayout>
              <c:xMode val="edge"/>
              <c:yMode val="edge"/>
              <c:x val="2.8326864071568519E-2"/>
              <c:y val="0.3111629115667471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21126767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8034382835927"/>
          <c:y val="0.10873557047568727"/>
          <c:w val="0.79688321756017544"/>
          <c:h val="0.72138504788568958"/>
        </c:manualLayout>
      </c:layout>
      <c:scatterChart>
        <c:scatterStyle val="lineMarker"/>
        <c:varyColors val="0"/>
        <c:ser>
          <c:idx val="0"/>
          <c:order val="0"/>
          <c:tx>
            <c:v>流量比-軸動力比</c:v>
          </c:tx>
          <c:spPr>
            <a:ln w="25400" cap="rnd">
              <a:noFill/>
              <a:round/>
            </a:ln>
            <a:effectLst/>
          </c:spPr>
          <c:marker>
            <c:symbol val="circle"/>
            <c:size val="6"/>
            <c:spPr>
              <a:solidFill>
                <a:schemeClr val="accent1"/>
              </a:solidFill>
              <a:ln w="9525">
                <a:solidFill>
                  <a:schemeClr val="accent1"/>
                </a:solidFill>
              </a:ln>
              <a:effectLst/>
            </c:spPr>
          </c:marker>
          <c:trendline>
            <c:spPr>
              <a:ln w="12700" cap="rnd">
                <a:solidFill>
                  <a:schemeClr val="accent1"/>
                </a:solidFill>
                <a:prstDash val="solid"/>
              </a:ln>
              <a:effectLst/>
            </c:spPr>
            <c:trendlineType val="poly"/>
            <c:order val="3"/>
            <c:dispRSqr val="1"/>
            <c:dispEq val="1"/>
            <c:trendlineLbl>
              <c:numFmt formatCode="General"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rendlineLbl>
          </c:trendline>
          <c:xVal>
            <c:numRef>
              <c:f>'VWV設計計算_パラメータ設定_運転点設定(改)'!$J$22:$J$31</c:f>
              <c:numCache>
                <c:formatCode>0.00</c:formatCode>
                <c:ptCount val="10"/>
                <c:pt idx="0">
                  <c:v>0.1</c:v>
                </c:pt>
                <c:pt idx="1">
                  <c:v>0.2</c:v>
                </c:pt>
                <c:pt idx="2">
                  <c:v>0.3</c:v>
                </c:pt>
                <c:pt idx="3">
                  <c:v>0.4</c:v>
                </c:pt>
                <c:pt idx="4">
                  <c:v>0.5</c:v>
                </c:pt>
                <c:pt idx="5">
                  <c:v>0.6</c:v>
                </c:pt>
                <c:pt idx="6">
                  <c:v>0.7</c:v>
                </c:pt>
                <c:pt idx="7">
                  <c:v>0.8</c:v>
                </c:pt>
                <c:pt idx="8">
                  <c:v>0.9</c:v>
                </c:pt>
                <c:pt idx="9">
                  <c:v>1</c:v>
                </c:pt>
              </c:numCache>
            </c:numRef>
          </c:xVal>
          <c:yVal>
            <c:numRef>
              <c:f>'VWV設計計算_パラメータ設定_運転点設定(改)'!$R$22:$R$31</c:f>
              <c:numCache>
                <c:formatCode>#,##0.00_);[Red]\(#,##0.00\)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B61E-4BB5-8FB4-2DF503139BD8}"/>
            </c:ext>
          </c:extLst>
        </c:ser>
        <c:dLbls>
          <c:showLegendKey val="0"/>
          <c:showVal val="0"/>
          <c:showCatName val="0"/>
          <c:showSerName val="0"/>
          <c:showPercent val="0"/>
          <c:showBubbleSize val="0"/>
        </c:dLbls>
        <c:axId val="455223263"/>
        <c:axId val="604715951"/>
        <c:extLst/>
      </c:scatterChart>
      <c:valAx>
        <c:axId val="455223263"/>
        <c:scaling>
          <c:orientation val="minMax"/>
          <c:max val="1.100000000000000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t>流量率</a:t>
                </a:r>
                <a:r>
                  <a:rPr lang="en-US"/>
                  <a:t>[-]</a:t>
                </a:r>
                <a:endParaRPr lang="ja-JP"/>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604715951"/>
        <c:crosses val="autoZero"/>
        <c:crossBetween val="midCat"/>
        <c:majorUnit val="0.1"/>
      </c:valAx>
      <c:valAx>
        <c:axId val="604715951"/>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　軸動力比 </a:t>
                </a:r>
                <a:r>
                  <a:rPr lang="en-US"/>
                  <a:t>[kW]</a:t>
                </a:r>
                <a:endParaRPr lang="ja-JP"/>
              </a:p>
            </c:rich>
          </c:tx>
          <c:layout>
            <c:manualLayout>
              <c:xMode val="edge"/>
              <c:yMode val="edge"/>
              <c:x val="1.5980350046712929E-2"/>
              <c:y val="0.3674518243558003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_);[Red]\(#,##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55223263"/>
        <c:crosses val="autoZero"/>
        <c:crossBetween val="midCat"/>
      </c:valAx>
      <c:spPr>
        <a:noFill/>
        <a:ln>
          <a:noFill/>
        </a:ln>
        <a:effectLst/>
      </c:spPr>
    </c:plotArea>
    <c:legend>
      <c:legendPos val="r"/>
      <c:legendEntry>
        <c:idx val="1"/>
        <c:delete val="1"/>
      </c:legendEntry>
      <c:layout>
        <c:manualLayout>
          <c:xMode val="edge"/>
          <c:yMode val="edge"/>
          <c:x val="4.0973314715296513E-3"/>
          <c:y val="1.688788901387326E-2"/>
          <c:w val="0.99012205441532919"/>
          <c:h val="7.835020622422196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14933225018719"/>
          <c:y val="7.0512820512820512E-2"/>
          <c:w val="0.73736707398834311"/>
          <c:h val="0.72226388368120653"/>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3.539016914371098E-2"/>
                  <c:y val="2.2382618839311753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trendlineLbl>
          </c:trendline>
          <c:xVal>
            <c:numRef>
              <c:f>'3次式係数計算過程'!$Q$15:$Q$16</c:f>
              <c:numCache>
                <c:formatCode>General</c:formatCode>
                <c:ptCount val="2"/>
                <c:pt idx="0">
                  <c:v>0</c:v>
                </c:pt>
                <c:pt idx="1">
                  <c:v>45900</c:v>
                </c:pt>
              </c:numCache>
            </c:numRef>
          </c:xVal>
          <c:yVal>
            <c:numRef>
              <c:f>'3次式係数計算過程'!$R$15:$R$16</c:f>
              <c:numCache>
                <c:formatCode>0.0</c:formatCode>
                <c:ptCount val="2"/>
                <c:pt idx="0" formatCode="0">
                  <c:v>50</c:v>
                </c:pt>
                <c:pt idx="1">
                  <c:v>219.52</c:v>
                </c:pt>
              </c:numCache>
            </c:numRef>
          </c:yVal>
          <c:smooth val="0"/>
          <c:extLst>
            <c:ext xmlns:c16="http://schemas.microsoft.com/office/drawing/2014/chart" uri="{C3380CC4-5D6E-409C-BE32-E72D297353CC}">
              <c16:uniqueId val="{00000001-10AA-4FE7-ACAF-EEB704474E32}"/>
            </c:ext>
          </c:extLst>
        </c:ser>
        <c:dLbls>
          <c:showLegendKey val="0"/>
          <c:showVal val="0"/>
          <c:showCatName val="0"/>
          <c:showSerName val="0"/>
          <c:showPercent val="0"/>
          <c:showBubbleSize val="0"/>
        </c:dLbls>
        <c:axId val="211267679"/>
        <c:axId val="286678015"/>
      </c:scatterChart>
      <c:valAx>
        <c:axId val="2112676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ja-JP"/>
                  <a:t>流量</a:t>
                </a:r>
                <a:r>
                  <a:rPr lang="en-US"/>
                  <a:t> M</a:t>
                </a:r>
                <a:r>
                  <a:rPr lang="en-US" baseline="-25000"/>
                  <a:t>pv</a:t>
                </a:r>
                <a:r>
                  <a:rPr lang="en-US"/>
                  <a:t>[m</a:t>
                </a:r>
                <a:r>
                  <a:rPr lang="en-US" baseline="30000"/>
                  <a:t>3</a:t>
                </a:r>
                <a:r>
                  <a:rPr lang="en-US"/>
                  <a:t>/h]</a:t>
                </a:r>
                <a:endParaRPr lang="ja-JP"/>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286678015"/>
        <c:crosses val="autoZero"/>
        <c:crossBetween val="midCat"/>
      </c:valAx>
      <c:valAx>
        <c:axId val="286678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ja-JP"/>
                  <a:t>差圧</a:t>
                </a:r>
                <a:r>
                  <a:rPr lang="en-US"/>
                  <a:t> dP</a:t>
                </a:r>
                <a:r>
                  <a:rPr lang="en-US" baseline="-25000"/>
                  <a:t>total,sp</a:t>
                </a:r>
                <a:r>
                  <a:rPr lang="en-US"/>
                  <a:t> [kPa]</a:t>
                </a:r>
                <a:endParaRPr lang="ja-JP"/>
              </a:p>
            </c:rich>
          </c:tx>
          <c:layout>
            <c:manualLayout>
              <c:xMode val="edge"/>
              <c:yMode val="edge"/>
              <c:x val="1.7360223134501339E-3"/>
              <c:y val="0.2123976422139152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21126767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aseline="0"/>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93064222632428"/>
          <c:y val="0.10873557047568727"/>
          <c:w val="0.75432993959626415"/>
          <c:h val="0.72138504788568958"/>
        </c:manualLayout>
      </c:layout>
      <c:scatterChart>
        <c:scatterStyle val="lineMarker"/>
        <c:varyColors val="0"/>
        <c:ser>
          <c:idx val="0"/>
          <c:order val="0"/>
          <c:tx>
            <c:v>流量比-軸動力比</c:v>
          </c:tx>
          <c:spPr>
            <a:ln w="25400" cap="rnd">
              <a:noFill/>
              <a:round/>
            </a:ln>
            <a:effectLst/>
          </c:spPr>
          <c:marker>
            <c:symbol val="x"/>
            <c:size val="6"/>
            <c:spPr>
              <a:noFill/>
              <a:ln w="9525">
                <a:solidFill>
                  <a:schemeClr val="accent1"/>
                </a:solidFill>
              </a:ln>
              <a:effectLst/>
            </c:spPr>
          </c:marker>
          <c:trendline>
            <c:spPr>
              <a:ln w="12700" cap="rnd">
                <a:solidFill>
                  <a:schemeClr val="accent1"/>
                </a:solidFill>
                <a:prstDash val="sysDash"/>
              </a:ln>
              <a:effectLst/>
            </c:spPr>
            <c:trendlineType val="poly"/>
            <c:order val="3"/>
            <c:dispRSqr val="1"/>
            <c:dispEq val="1"/>
            <c:trendlineLbl>
              <c:numFmt formatCode="General"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rendlineLbl>
          </c:trendline>
          <c:xVal>
            <c:numRef>
              <c:f>'3次式係数計算過程'!$AL$13:$AL$22</c:f>
              <c:numCache>
                <c:formatCode>0.00</c:formatCode>
                <c:ptCount val="10"/>
                <c:pt idx="0">
                  <c:v>0.1</c:v>
                </c:pt>
                <c:pt idx="1">
                  <c:v>0.2</c:v>
                </c:pt>
                <c:pt idx="2">
                  <c:v>0.3</c:v>
                </c:pt>
                <c:pt idx="3">
                  <c:v>0.4</c:v>
                </c:pt>
                <c:pt idx="4">
                  <c:v>0.5</c:v>
                </c:pt>
                <c:pt idx="5">
                  <c:v>0.6</c:v>
                </c:pt>
                <c:pt idx="6">
                  <c:v>0.7</c:v>
                </c:pt>
                <c:pt idx="7">
                  <c:v>0.8</c:v>
                </c:pt>
                <c:pt idx="8">
                  <c:v>0.9</c:v>
                </c:pt>
                <c:pt idx="9">
                  <c:v>1</c:v>
                </c:pt>
              </c:numCache>
            </c:numRef>
          </c:xVal>
          <c:yVal>
            <c:numRef>
              <c:f>'3次式係数計算過程'!$AT$13:$AT$22</c:f>
              <c:numCache>
                <c:formatCode>#,##0.00_);[Red]\(#,##0.00\)</c:formatCode>
                <c:ptCount val="10"/>
                <c:pt idx="0">
                  <c:v>1.7928455310529032E-2</c:v>
                </c:pt>
                <c:pt idx="1">
                  <c:v>5.0953966267714375E-2</c:v>
                </c:pt>
                <c:pt idx="2">
                  <c:v>8.1537286940065276E-2</c:v>
                </c:pt>
                <c:pt idx="3">
                  <c:v>0.13238786770886268</c:v>
                </c:pt>
                <c:pt idx="4">
                  <c:v>0.18100689900448549</c:v>
                </c:pt>
                <c:pt idx="5">
                  <c:v>0.24799293516391971</c:v>
                </c:pt>
                <c:pt idx="6">
                  <c:v>0.31625122403531858</c:v>
                </c:pt>
                <c:pt idx="7">
                  <c:v>0.39955621458220181</c:v>
                </c:pt>
                <c:pt idx="8">
                  <c:v>0.48800804928251723</c:v>
                </c:pt>
                <c:pt idx="9">
                  <c:v>0.58803989364413145</c:v>
                </c:pt>
              </c:numCache>
            </c:numRef>
          </c:yVal>
          <c:smooth val="0"/>
          <c:extLst>
            <c:ext xmlns:c16="http://schemas.microsoft.com/office/drawing/2014/chart" uri="{C3380CC4-5D6E-409C-BE32-E72D297353CC}">
              <c16:uniqueId val="{00000001-AE5B-4DDE-B827-64C66B71305E}"/>
            </c:ext>
          </c:extLst>
        </c:ser>
        <c:dLbls>
          <c:showLegendKey val="0"/>
          <c:showVal val="0"/>
          <c:showCatName val="0"/>
          <c:showSerName val="0"/>
          <c:showPercent val="0"/>
          <c:showBubbleSize val="0"/>
        </c:dLbls>
        <c:axId val="455223263"/>
        <c:axId val="604715951"/>
        <c:extLst/>
      </c:scatterChart>
      <c:valAx>
        <c:axId val="455223263"/>
        <c:scaling>
          <c:orientation val="minMax"/>
          <c:max val="1.100000000000000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t>流量率</a:t>
                </a:r>
                <a:r>
                  <a:rPr lang="en-US"/>
                  <a:t>[-]</a:t>
                </a:r>
                <a:endParaRPr lang="ja-JP"/>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604715951"/>
        <c:crosses val="autoZero"/>
        <c:crossBetween val="midCat"/>
        <c:majorUnit val="0.1"/>
      </c:valAx>
      <c:valAx>
        <c:axId val="604715951"/>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　軸動力比 </a:t>
                </a:r>
                <a:r>
                  <a:rPr lang="en-US"/>
                  <a:t>[kW]</a:t>
                </a:r>
                <a:endParaRPr lang="ja-JP"/>
              </a:p>
            </c:rich>
          </c:tx>
          <c:layout>
            <c:manualLayout>
              <c:xMode val="edge"/>
              <c:yMode val="edge"/>
              <c:x val="1.5980350046712929E-2"/>
              <c:y val="0.3674518243558003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_);[Red]\(#,##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55223263"/>
        <c:crosses val="autoZero"/>
        <c:crossBetween val="midCat"/>
      </c:valAx>
      <c:spPr>
        <a:noFill/>
        <a:ln>
          <a:noFill/>
        </a:ln>
        <a:effectLst/>
      </c:spPr>
    </c:plotArea>
    <c:legend>
      <c:legendPos val="r"/>
      <c:legendEntry>
        <c:idx val="1"/>
        <c:delete val="1"/>
      </c:legendEntry>
      <c:layout>
        <c:manualLayout>
          <c:xMode val="edge"/>
          <c:yMode val="edge"/>
          <c:x val="0"/>
          <c:y val="1.9050743657042868E-3"/>
          <c:w val="0.99012205441532919"/>
          <c:h val="7.835020622422196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93064222632428"/>
          <c:y val="0.10873557047568727"/>
          <c:w val="0.75432993959626415"/>
          <c:h val="0.72138504788568958"/>
        </c:manualLayout>
      </c:layout>
      <c:scatterChart>
        <c:scatterStyle val="lineMarker"/>
        <c:varyColors val="0"/>
        <c:ser>
          <c:idx val="0"/>
          <c:order val="0"/>
          <c:tx>
            <c:v>流量比-軸動力比</c:v>
          </c:tx>
          <c:spPr>
            <a:ln w="25400" cap="rnd">
              <a:noFill/>
              <a:round/>
            </a:ln>
            <a:effectLst/>
          </c:spPr>
          <c:marker>
            <c:symbol val="circle"/>
            <c:size val="6"/>
            <c:spPr>
              <a:solidFill>
                <a:schemeClr val="accent2"/>
              </a:solidFill>
              <a:ln w="9525">
                <a:solidFill>
                  <a:schemeClr val="accent2"/>
                </a:solidFill>
              </a:ln>
              <a:effectLst/>
            </c:spPr>
          </c:marker>
          <c:trendline>
            <c:spPr>
              <a:ln w="12700" cap="rnd">
                <a:solidFill>
                  <a:schemeClr val="accent2"/>
                </a:solidFill>
                <a:prstDash val="solid"/>
              </a:ln>
              <a:effectLst/>
            </c:spPr>
            <c:trendlineType val="poly"/>
            <c:order val="3"/>
            <c:dispRSqr val="1"/>
            <c:dispEq val="1"/>
            <c:trendlineLbl>
              <c:numFmt formatCode="General"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rendlineLbl>
          </c:trendline>
          <c:xVal>
            <c:numRef>
              <c:f>'3次式係数計算過程'!$AL$30:$AL$40</c:f>
              <c:numCache>
                <c:formatCode>0.00</c:formatCode>
                <c:ptCount val="11"/>
                <c:pt idx="0">
                  <c:v>9.0909090909090898E-2</c:v>
                </c:pt>
                <c:pt idx="1">
                  <c:v>0.18181818181818199</c:v>
                </c:pt>
                <c:pt idx="2">
                  <c:v>0.27272727272727298</c:v>
                </c:pt>
                <c:pt idx="3">
                  <c:v>0.36363636363636398</c:v>
                </c:pt>
                <c:pt idx="4">
                  <c:v>0.45454545454545497</c:v>
                </c:pt>
                <c:pt idx="5">
                  <c:v>0.54545454545454497</c:v>
                </c:pt>
                <c:pt idx="6">
                  <c:v>0.63636363636363635</c:v>
                </c:pt>
                <c:pt idx="7">
                  <c:v>0.72727272727272696</c:v>
                </c:pt>
                <c:pt idx="8">
                  <c:v>0.81818181818181801</c:v>
                </c:pt>
                <c:pt idx="9">
                  <c:v>0.90909090909090906</c:v>
                </c:pt>
                <c:pt idx="10">
                  <c:v>1</c:v>
                </c:pt>
              </c:numCache>
            </c:numRef>
          </c:xVal>
          <c:yVal>
            <c:numRef>
              <c:f>'3次式係数計算過程'!$AT$30:$AT$40</c:f>
              <c:numCache>
                <c:formatCode>#,##0.00_);[Red]\(#,##0.00\)</c:formatCode>
                <c:ptCount val="11"/>
                <c:pt idx="0">
                  <c:v>6.7231707414483859E-3</c:v>
                </c:pt>
                <c:pt idx="1">
                  <c:v>1.3446341482896772E-2</c:v>
                </c:pt>
                <c:pt idx="2">
                  <c:v>3.8215474700785783E-2</c:v>
                </c:pt>
                <c:pt idx="3">
                  <c:v>6.1152965205048954E-2</c:v>
                </c:pt>
                <c:pt idx="4">
                  <c:v>9.9290900781647012E-2</c:v>
                </c:pt>
                <c:pt idx="5">
                  <c:v>0.13575517425336411</c:v>
                </c:pt>
                <c:pt idx="6">
                  <c:v>0.1859947013729398</c:v>
                </c:pt>
                <c:pt idx="7">
                  <c:v>0.23718841802648893</c:v>
                </c:pt>
                <c:pt idx="8">
                  <c:v>0.29966716093665136</c:v>
                </c:pt>
                <c:pt idx="9">
                  <c:v>0.36600603696188788</c:v>
                </c:pt>
                <c:pt idx="10">
                  <c:v>0.44102992023309862</c:v>
                </c:pt>
              </c:numCache>
            </c:numRef>
          </c:yVal>
          <c:smooth val="0"/>
          <c:extLst>
            <c:ext xmlns:c16="http://schemas.microsoft.com/office/drawing/2014/chart" uri="{C3380CC4-5D6E-409C-BE32-E72D297353CC}">
              <c16:uniqueId val="{00000001-AE5B-4DDE-B827-64C66B71305E}"/>
            </c:ext>
          </c:extLst>
        </c:ser>
        <c:dLbls>
          <c:showLegendKey val="0"/>
          <c:showVal val="0"/>
          <c:showCatName val="0"/>
          <c:showSerName val="0"/>
          <c:showPercent val="0"/>
          <c:showBubbleSize val="0"/>
        </c:dLbls>
        <c:axId val="455223263"/>
        <c:axId val="604715951"/>
        <c:extLst/>
      </c:scatterChart>
      <c:valAx>
        <c:axId val="455223263"/>
        <c:scaling>
          <c:orientation val="minMax"/>
          <c:max val="1.100000000000000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t>流量率</a:t>
                </a:r>
                <a:r>
                  <a:rPr lang="en-US"/>
                  <a:t>[-]</a:t>
                </a:r>
                <a:endParaRPr lang="ja-JP"/>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604715951"/>
        <c:crosses val="autoZero"/>
        <c:crossBetween val="midCat"/>
        <c:majorUnit val="0.1"/>
      </c:valAx>
      <c:valAx>
        <c:axId val="604715951"/>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　軸動力比 </a:t>
                </a:r>
                <a:r>
                  <a:rPr lang="en-US"/>
                  <a:t>[kW]</a:t>
                </a:r>
                <a:endParaRPr lang="ja-JP"/>
              </a:p>
            </c:rich>
          </c:tx>
          <c:layout>
            <c:manualLayout>
              <c:xMode val="edge"/>
              <c:yMode val="edge"/>
              <c:x val="1.5980350046712929E-2"/>
              <c:y val="0.3674518243558003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_);[Red]\(#,##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55223263"/>
        <c:crosses val="autoZero"/>
        <c:crossBetween val="midCat"/>
      </c:valAx>
      <c:spPr>
        <a:noFill/>
        <a:ln>
          <a:noFill/>
        </a:ln>
        <a:effectLst/>
      </c:spPr>
    </c:plotArea>
    <c:legend>
      <c:legendPos val="r"/>
      <c:legendEntry>
        <c:idx val="1"/>
        <c:delete val="1"/>
      </c:legendEntry>
      <c:layout>
        <c:manualLayout>
          <c:xMode val="edge"/>
          <c:yMode val="edge"/>
          <c:x val="0"/>
          <c:y val="1.9050396478218004E-3"/>
          <c:w val="0.99012205441532919"/>
          <c:h val="7.835020622422196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9949774796668"/>
          <c:y val="6.7644211140274135E-2"/>
          <c:w val="0.78011967639847479"/>
          <c:h val="0.79875856258708411"/>
        </c:manualLayout>
      </c:layout>
      <c:scatterChart>
        <c:scatterStyle val="lineMarker"/>
        <c:varyColors val="0"/>
        <c:ser>
          <c:idx val="0"/>
          <c:order val="0"/>
          <c:tx>
            <c:v>外挿区間</c:v>
          </c:tx>
          <c:spPr>
            <a:ln w="12700" cap="rnd">
              <a:solidFill>
                <a:schemeClr val="bg1">
                  <a:lumMod val="65000"/>
                </a:schemeClr>
              </a:solidFill>
              <a:prstDash val="sysDash"/>
              <a:round/>
            </a:ln>
            <a:effectLst/>
          </c:spPr>
          <c:marker>
            <c:symbol val="none"/>
          </c:marker>
          <c:xVal>
            <c:numRef>
              <c:f>'C1'!$AX$14:$AX$1014</c:f>
              <c:numCache>
                <c:formatCode>General</c:formatCode>
                <c:ptCount val="1001"/>
                <c:pt idx="0">
                  <c:v>-1.3971918735185187</c:v>
                </c:pt>
                <c:pt idx="1">
                  <c:v>-1.3122609314362965</c:v>
                </c:pt>
                <c:pt idx="2">
                  <c:v>-1.2273299893540743</c:v>
                </c:pt>
                <c:pt idx="3">
                  <c:v>-1.1423990472718519</c:v>
                </c:pt>
                <c:pt idx="4">
                  <c:v>-1.0574681051896297</c:v>
                </c:pt>
                <c:pt idx="5">
                  <c:v>-0.97253716310740757</c:v>
                </c:pt>
                <c:pt idx="6">
                  <c:v>-0.88760622102518538</c:v>
                </c:pt>
                <c:pt idx="7">
                  <c:v>-0.80267527894296309</c:v>
                </c:pt>
                <c:pt idx="8">
                  <c:v>-0.71774433686074091</c:v>
                </c:pt>
                <c:pt idx="9">
                  <c:v>-0.63281339477851872</c:v>
                </c:pt>
                <c:pt idx="10">
                  <c:v>-0.54788245269629643</c:v>
                </c:pt>
                <c:pt idx="11">
                  <c:v>-0.46295151061407425</c:v>
                </c:pt>
                <c:pt idx="12">
                  <c:v>-0.37802056853185206</c:v>
                </c:pt>
                <c:pt idx="13">
                  <c:v>-0.29308962644962988</c:v>
                </c:pt>
                <c:pt idx="14">
                  <c:v>-0.20815868436740748</c:v>
                </c:pt>
                <c:pt idx="15">
                  <c:v>-0.12322774228518529</c:v>
                </c:pt>
                <c:pt idx="16">
                  <c:v>-3.829680020296311E-2</c:v>
                </c:pt>
                <c:pt idx="17">
                  <c:v>4.6634141879259072E-2</c:v>
                </c:pt>
                <c:pt idx="18">
                  <c:v>0.13156508396148126</c:v>
                </c:pt>
                <c:pt idx="19">
                  <c:v>0.21649602604370366</c:v>
                </c:pt>
                <c:pt idx="20">
                  <c:v>0.30142696812592584</c:v>
                </c:pt>
                <c:pt idx="21">
                  <c:v>0.38635791020814803</c:v>
                </c:pt>
                <c:pt idx="22">
                  <c:v>0.47128885229037021</c:v>
                </c:pt>
                <c:pt idx="23">
                  <c:v>0.55621979437259239</c:v>
                </c:pt>
                <c:pt idx="24">
                  <c:v>0.6411507364548148</c:v>
                </c:pt>
                <c:pt idx="25">
                  <c:v>0.7260816785370372</c:v>
                </c:pt>
                <c:pt idx="26">
                  <c:v>0.81101262061925916</c:v>
                </c:pt>
                <c:pt idx="27">
                  <c:v>0.89594356270148157</c:v>
                </c:pt>
                <c:pt idx="28">
                  <c:v>0.98087450478370397</c:v>
                </c:pt>
                <c:pt idx="29">
                  <c:v>1.0658054468659259</c:v>
                </c:pt>
                <c:pt idx="30">
                  <c:v>1.1507363889481483</c:v>
                </c:pt>
                <c:pt idx="31">
                  <c:v>1.2356673310303703</c:v>
                </c:pt>
                <c:pt idx="32">
                  <c:v>1.3205982731125927</c:v>
                </c:pt>
                <c:pt idx="33">
                  <c:v>1.4055292151948151</c:v>
                </c:pt>
                <c:pt idx="34">
                  <c:v>1.4904601572770371</c:v>
                </c:pt>
                <c:pt idx="35">
                  <c:v>1.5753910993592595</c:v>
                </c:pt>
                <c:pt idx="36">
                  <c:v>1.6603220414414814</c:v>
                </c:pt>
                <c:pt idx="37">
                  <c:v>1.7452529835237038</c:v>
                </c:pt>
                <c:pt idx="38">
                  <c:v>1.8301839256059262</c:v>
                </c:pt>
                <c:pt idx="39">
                  <c:v>1.9151148676881482</c:v>
                </c:pt>
                <c:pt idx="40">
                  <c:v>2.0000458097703708</c:v>
                </c:pt>
                <c:pt idx="41">
                  <c:v>2.0849767518525928</c:v>
                </c:pt>
                <c:pt idx="42">
                  <c:v>2.1699076939348148</c:v>
                </c:pt>
                <c:pt idx="43">
                  <c:v>2.2548386360170376</c:v>
                </c:pt>
                <c:pt idx="44">
                  <c:v>2.3397695780992596</c:v>
                </c:pt>
                <c:pt idx="45">
                  <c:v>2.4247005201814815</c:v>
                </c:pt>
                <c:pt idx="46">
                  <c:v>2.5096314622637035</c:v>
                </c:pt>
                <c:pt idx="47">
                  <c:v>2.5945624043459254</c:v>
                </c:pt>
                <c:pt idx="48">
                  <c:v>2.6794933464281474</c:v>
                </c:pt>
                <c:pt idx="49">
                  <c:v>2.7644242885103703</c:v>
                </c:pt>
                <c:pt idx="50">
                  <c:v>2.8493552305925922</c:v>
                </c:pt>
                <c:pt idx="51">
                  <c:v>2.9342861726748142</c:v>
                </c:pt>
                <c:pt idx="52">
                  <c:v>3.0192171147570361</c:v>
                </c:pt>
                <c:pt idx="53">
                  <c:v>3.104148056839259</c:v>
                </c:pt>
                <c:pt idx="54">
                  <c:v>3.1890789989214809</c:v>
                </c:pt>
                <c:pt idx="55">
                  <c:v>3.2740099410037029</c:v>
                </c:pt>
                <c:pt idx="56">
                  <c:v>3.3589408830859258</c:v>
                </c:pt>
                <c:pt idx="57">
                  <c:v>3.4438718251681477</c:v>
                </c:pt>
                <c:pt idx="58">
                  <c:v>3.5288027672503697</c:v>
                </c:pt>
                <c:pt idx="59">
                  <c:v>3.6137337093325925</c:v>
                </c:pt>
                <c:pt idx="60">
                  <c:v>3.6986646514148145</c:v>
                </c:pt>
                <c:pt idx="61">
                  <c:v>3.7835955934970364</c:v>
                </c:pt>
                <c:pt idx="62">
                  <c:v>3.8685265355792584</c:v>
                </c:pt>
                <c:pt idx="63">
                  <c:v>3.9534574776614813</c:v>
                </c:pt>
                <c:pt idx="64">
                  <c:v>4.0383884197437032</c:v>
                </c:pt>
                <c:pt idx="65">
                  <c:v>4.1233193618259252</c:v>
                </c:pt>
                <c:pt idx="66">
                  <c:v>4.208250303908148</c:v>
                </c:pt>
                <c:pt idx="67">
                  <c:v>4.29318124599037</c:v>
                </c:pt>
                <c:pt idx="68">
                  <c:v>4.3781121880725919</c:v>
                </c:pt>
                <c:pt idx="69">
                  <c:v>4.4630431301548139</c:v>
                </c:pt>
                <c:pt idx="70">
                  <c:v>4.5479740722370368</c:v>
                </c:pt>
                <c:pt idx="71">
                  <c:v>4.6329050143192587</c:v>
                </c:pt>
                <c:pt idx="72">
                  <c:v>4.7178359564014807</c:v>
                </c:pt>
                <c:pt idx="73">
                  <c:v>4.8027668984837035</c:v>
                </c:pt>
                <c:pt idx="74">
                  <c:v>4.8876978405659255</c:v>
                </c:pt>
                <c:pt idx="75">
                  <c:v>4.9726287826481474</c:v>
                </c:pt>
                <c:pt idx="76">
                  <c:v>5.0575597247303703</c:v>
                </c:pt>
                <c:pt idx="77">
                  <c:v>5.1424906668125923</c:v>
                </c:pt>
                <c:pt idx="78">
                  <c:v>5.2274216088948142</c:v>
                </c:pt>
                <c:pt idx="79">
                  <c:v>5.3123525509770362</c:v>
                </c:pt>
                <c:pt idx="80">
                  <c:v>5.397283493059259</c:v>
                </c:pt>
                <c:pt idx="81">
                  <c:v>5.482214435141481</c:v>
                </c:pt>
                <c:pt idx="82">
                  <c:v>5.567145377223703</c:v>
                </c:pt>
                <c:pt idx="83">
                  <c:v>5.6520763193059258</c:v>
                </c:pt>
                <c:pt idx="84">
                  <c:v>5.7370072613881478</c:v>
                </c:pt>
                <c:pt idx="85">
                  <c:v>5.8219382034703697</c:v>
                </c:pt>
                <c:pt idx="86">
                  <c:v>5.9068691455525926</c:v>
                </c:pt>
                <c:pt idx="87">
                  <c:v>5.9918000876348145</c:v>
                </c:pt>
                <c:pt idx="88">
                  <c:v>6.0767310297170365</c:v>
                </c:pt>
                <c:pt idx="89">
                  <c:v>6.1616619717992585</c:v>
                </c:pt>
                <c:pt idx="90">
                  <c:v>6.2465929138814813</c:v>
                </c:pt>
                <c:pt idx="91">
                  <c:v>6.3315238559637033</c:v>
                </c:pt>
                <c:pt idx="92">
                  <c:v>6.4164547980459252</c:v>
                </c:pt>
                <c:pt idx="93">
                  <c:v>6.5013857401281481</c:v>
                </c:pt>
                <c:pt idx="94">
                  <c:v>6.58631668221037</c:v>
                </c:pt>
                <c:pt idx="95">
                  <c:v>6.671247624292592</c:v>
                </c:pt>
                <c:pt idx="96">
                  <c:v>6.756178566374814</c:v>
                </c:pt>
                <c:pt idx="97">
                  <c:v>6.8411095084570359</c:v>
                </c:pt>
                <c:pt idx="98">
                  <c:v>6.9260404505392597</c:v>
                </c:pt>
                <c:pt idx="99">
                  <c:v>7.0109713926214816</c:v>
                </c:pt>
                <c:pt idx="100">
                  <c:v>7.0959023347037036</c:v>
                </c:pt>
              </c:numCache>
            </c:numRef>
          </c:xVal>
          <c:yVal>
            <c:numRef>
              <c:f>'C1'!$AW$14:$AW$1014</c:f>
              <c:numCache>
                <c:formatCode>General</c:formatCode>
                <c:ptCount val="1001"/>
                <c:pt idx="0">
                  <c:v>4.1881863164356155</c:v>
                </c:pt>
                <c:pt idx="1">
                  <c:v>4.326118437271214</c:v>
                </c:pt>
                <c:pt idx="2">
                  <c:v>4.4537350640369127</c:v>
                </c:pt>
                <c:pt idx="3">
                  <c:v>4.5714294625383118</c:v>
                </c:pt>
                <c:pt idx="4">
                  <c:v>4.6795867767936228</c:v>
                </c:pt>
                <c:pt idx="5">
                  <c:v>4.7785840290336647</c:v>
                </c:pt>
                <c:pt idx="6">
                  <c:v>4.8687901197018659</c:v>
                </c:pt>
                <c:pt idx="7">
                  <c:v>4.9505658274542634</c:v>
                </c:pt>
                <c:pt idx="8">
                  <c:v>5.0242638091595033</c:v>
                </c:pt>
                <c:pt idx="9">
                  <c:v>5.0902285998988388</c:v>
                </c:pt>
                <c:pt idx="10">
                  <c:v>5.1487966129661338</c:v>
                </c:pt>
                <c:pt idx="11">
                  <c:v>5.2002961398678593</c:v>
                </c:pt>
                <c:pt idx="12">
                  <c:v>5.2450473503230963</c:v>
                </c:pt>
                <c:pt idx="13">
                  <c:v>5.2833622922635337</c:v>
                </c:pt>
                <c:pt idx="14">
                  <c:v>5.3155448918334693</c:v>
                </c:pt>
                <c:pt idx="15">
                  <c:v>5.34189095338981</c:v>
                </c:pt>
                <c:pt idx="16">
                  <c:v>5.3626881595020706</c:v>
                </c:pt>
                <c:pt idx="17">
                  <c:v>5.3782160709523739</c:v>
                </c:pt>
                <c:pt idx="18">
                  <c:v>5.3887461267354544</c:v>
                </c:pt>
                <c:pt idx="19">
                  <c:v>5.3945416440586529</c:v>
                </c:pt>
                <c:pt idx="20">
                  <c:v>5.395857818341919</c:v>
                </c:pt>
                <c:pt idx="21">
                  <c:v>5.3929417232178105</c:v>
                </c:pt>
                <c:pt idx="22">
                  <c:v>5.3860323105314967</c:v>
                </c:pt>
                <c:pt idx="23">
                  <c:v>5.3753604103407531</c:v>
                </c:pt>
                <c:pt idx="24">
                  <c:v>5.3611487309159633</c:v>
                </c:pt>
                <c:pt idx="25">
                  <c:v>5.3436118587401218</c:v>
                </c:pt>
                <c:pt idx="26">
                  <c:v>5.3229562585088308</c:v>
                </c:pt>
                <c:pt idx="27">
                  <c:v>5.2993802731303008</c:v>
                </c:pt>
                <c:pt idx="28">
                  <c:v>5.273074123725352</c:v>
                </c:pt>
                <c:pt idx="29">
                  <c:v>5.2442199096274127</c:v>
                </c:pt>
                <c:pt idx="30">
                  <c:v>5.2129916083825192</c:v>
                </c:pt>
                <c:pt idx="31">
                  <c:v>5.1795550757493176</c:v>
                </c:pt>
                <c:pt idx="32">
                  <c:v>5.1440680456990622</c:v>
                </c:pt>
                <c:pt idx="33">
                  <c:v>5.1066801304156151</c:v>
                </c:pt>
                <c:pt idx="34">
                  <c:v>5.0675328202954502</c:v>
                </c:pt>
                <c:pt idx="35">
                  <c:v>5.0267594839476466</c:v>
                </c:pt>
                <c:pt idx="36">
                  <c:v>4.9844853681938943</c:v>
                </c:pt>
                <c:pt idx="37">
                  <c:v>4.9408275980684904</c:v>
                </c:pt>
                <c:pt idx="38">
                  <c:v>4.8958951768183416</c:v>
                </c:pt>
                <c:pt idx="39">
                  <c:v>4.8497889859029639</c:v>
                </c:pt>
                <c:pt idx="40">
                  <c:v>4.8026017849944802</c:v>
                </c:pt>
                <c:pt idx="41">
                  <c:v>4.7544182119776233</c:v>
                </c:pt>
                <c:pt idx="42">
                  <c:v>4.7053147829497357</c:v>
                </c:pt>
                <c:pt idx="43">
                  <c:v>4.6553598922207664</c:v>
                </c:pt>
                <c:pt idx="44">
                  <c:v>4.6046138123132749</c:v>
                </c:pt>
                <c:pt idx="45">
                  <c:v>4.5531286939624289</c:v>
                </c:pt>
                <c:pt idx="46">
                  <c:v>4.500948566116004</c:v>
                </c:pt>
                <c:pt idx="47">
                  <c:v>4.4481093359343848</c:v>
                </c:pt>
                <c:pt idx="48">
                  <c:v>4.3946387887905658</c:v>
                </c:pt>
                <c:pt idx="49">
                  <c:v>4.3405565882701476</c:v>
                </c:pt>
                <c:pt idx="50">
                  <c:v>4.2858742761713433</c:v>
                </c:pt>
                <c:pt idx="51">
                  <c:v>4.2305952725049716</c:v>
                </c:pt>
                <c:pt idx="52">
                  <c:v>4.1747148754944607</c:v>
                </c:pt>
                <c:pt idx="53">
                  <c:v>4.1182202615758481</c:v>
                </c:pt>
                <c:pt idx="54">
                  <c:v>4.0610904853977789</c:v>
                </c:pt>
                <c:pt idx="55">
                  <c:v>4.0032964798215076</c:v>
                </c:pt>
                <c:pt idx="56">
                  <c:v>3.9448010559208995</c:v>
                </c:pt>
                <c:pt idx="57">
                  <c:v>3.8855589029824245</c:v>
                </c:pt>
                <c:pt idx="58">
                  <c:v>3.8255165885051623</c:v>
                </c:pt>
                <c:pt idx="59">
                  <c:v>3.7646125582008039</c:v>
                </c:pt>
                <c:pt idx="60">
                  <c:v>3.7027771359936468</c:v>
                </c:pt>
                <c:pt idx="61">
                  <c:v>3.6399325240205984</c:v>
                </c:pt>
                <c:pt idx="62">
                  <c:v>3.5759928026311725</c:v>
                </c:pt>
                <c:pt idx="63">
                  <c:v>3.5108639303874947</c:v>
                </c:pt>
                <c:pt idx="64">
                  <c:v>3.4444437440642961</c:v>
                </c:pt>
                <c:pt idx="65">
                  <c:v>3.3766219586489208</c:v>
                </c:pt>
                <c:pt idx="66">
                  <c:v>3.3072801673413155</c:v>
                </c:pt>
                <c:pt idx="67">
                  <c:v>3.2362918415540411</c:v>
                </c:pt>
                <c:pt idx="68">
                  <c:v>3.1635223309122678</c:v>
                </c:pt>
                <c:pt idx="69">
                  <c:v>3.0888288632537662</c:v>
                </c:pt>
                <c:pt idx="70">
                  <c:v>3.0120605446289255</c:v>
                </c:pt>
                <c:pt idx="71">
                  <c:v>2.9330583593007384</c:v>
                </c:pt>
                <c:pt idx="72">
                  <c:v>2.8516551697448067</c:v>
                </c:pt>
                <c:pt idx="73">
                  <c:v>2.7676757166493413</c:v>
                </c:pt>
                <c:pt idx="74">
                  <c:v>2.6809366189151618</c:v>
                </c:pt>
                <c:pt idx="75">
                  <c:v>2.5912463736556988</c:v>
                </c:pt>
                <c:pt idx="76">
                  <c:v>2.4984053561969848</c:v>
                </c:pt>
                <c:pt idx="77">
                  <c:v>2.4022058200776719</c:v>
                </c:pt>
                <c:pt idx="78">
                  <c:v>2.3024318970490136</c:v>
                </c:pt>
                <c:pt idx="79">
                  <c:v>2.1988595970748683</c:v>
                </c:pt>
                <c:pt idx="80">
                  <c:v>2.0912568083317096</c:v>
                </c:pt>
                <c:pt idx="81">
                  <c:v>1.9793832972086221</c:v>
                </c:pt>
                <c:pt idx="82">
                  <c:v>1.8629907083072945</c:v>
                </c:pt>
                <c:pt idx="83">
                  <c:v>1.7418225644420162</c:v>
                </c:pt>
                <c:pt idx="84">
                  <c:v>1.6156142666397075</c:v>
                </c:pt>
                <c:pt idx="85">
                  <c:v>1.4840930941398716</c:v>
                </c:pt>
                <c:pt idx="86">
                  <c:v>1.3469782043946417</c:v>
                </c:pt>
                <c:pt idx="87">
                  <c:v>1.2039806330687446</c:v>
                </c:pt>
                <c:pt idx="88">
                  <c:v>1.0548032940395293</c:v>
                </c:pt>
                <c:pt idx="89">
                  <c:v>0.8991409793969396</c:v>
                </c:pt>
                <c:pt idx="90">
                  <c:v>0.73668035944352894</c:v>
                </c:pt>
                <c:pt idx="91">
                  <c:v>0.56709998269448114</c:v>
                </c:pt>
                <c:pt idx="92">
                  <c:v>0.39007027587755694</c:v>
                </c:pt>
                <c:pt idx="93">
                  <c:v>0.20525354393315087</c:v>
                </c:pt>
                <c:pt idx="94">
                  <c:v>1.2303970014256649E-2</c:v>
                </c:pt>
                <c:pt idx="95">
                  <c:v>-0.18913238451353465</c:v>
                </c:pt>
                <c:pt idx="96">
                  <c:v>-0.39941758007199191</c:v>
                </c:pt>
                <c:pt idx="97">
                  <c:v>-0.6189217988703124</c:v>
                </c:pt>
                <c:pt idx="98">
                  <c:v>-0.84802334490506848</c:v>
                </c:pt>
                <c:pt idx="99">
                  <c:v>-1.087108643960204</c:v>
                </c:pt>
                <c:pt idx="100">
                  <c:v>-1.3365722436070886</c:v>
                </c:pt>
              </c:numCache>
            </c:numRef>
          </c:yVal>
          <c:smooth val="0"/>
          <c:extLst>
            <c:ext xmlns:c16="http://schemas.microsoft.com/office/drawing/2014/chart" uri="{C3380CC4-5D6E-409C-BE32-E72D297353CC}">
              <c16:uniqueId val="{00000000-A875-4408-854D-8D7538D2AEAE}"/>
            </c:ext>
          </c:extLst>
        </c:ser>
        <c:ser>
          <c:idx val="2"/>
          <c:order val="1"/>
          <c:tx>
            <c:v>回帰曲線（サンプル範囲）</c:v>
          </c:tx>
          <c:spPr>
            <a:ln w="25400" cap="rnd">
              <a:solidFill>
                <a:schemeClr val="accent1"/>
              </a:solidFill>
              <a:round/>
            </a:ln>
            <a:effectLst/>
          </c:spPr>
          <c:marker>
            <c:symbol val="none"/>
          </c:marker>
          <c:xVal>
            <c:numRef>
              <c:f>'C1'!$BA$14:$BA$1014</c:f>
              <c:numCache>
                <c:formatCode>General</c:formatCode>
                <c:ptCount val="1001"/>
                <c:pt idx="0">
                  <c:v>1.832382785185185E-2</c:v>
                </c:pt>
                <c:pt idx="1">
                  <c:v>7.4944455906666665E-2</c:v>
                </c:pt>
                <c:pt idx="2">
                  <c:v>0.13156508396148148</c:v>
                </c:pt>
                <c:pt idx="3">
                  <c:v>0.1881857120162963</c:v>
                </c:pt>
                <c:pt idx="4">
                  <c:v>0.24480634007111113</c:v>
                </c:pt>
                <c:pt idx="5">
                  <c:v>0.3014269681259259</c:v>
                </c:pt>
                <c:pt idx="6">
                  <c:v>0.35804759618074072</c:v>
                </c:pt>
                <c:pt idx="7">
                  <c:v>0.41466822423555555</c:v>
                </c:pt>
                <c:pt idx="8">
                  <c:v>0.47128885229037037</c:v>
                </c:pt>
                <c:pt idx="9">
                  <c:v>0.52790948034518514</c:v>
                </c:pt>
                <c:pt idx="10">
                  <c:v>0.58453010839999997</c:v>
                </c:pt>
                <c:pt idx="11">
                  <c:v>0.6411507364548148</c:v>
                </c:pt>
                <c:pt idx="12">
                  <c:v>0.69777136450962962</c:v>
                </c:pt>
                <c:pt idx="13">
                  <c:v>0.75439199256444445</c:v>
                </c:pt>
                <c:pt idx="14">
                  <c:v>0.81101262061925927</c:v>
                </c:pt>
                <c:pt idx="15">
                  <c:v>0.8676332486740741</c:v>
                </c:pt>
                <c:pt idx="16">
                  <c:v>0.92425387672888892</c:v>
                </c:pt>
                <c:pt idx="17">
                  <c:v>0.98087450478370375</c:v>
                </c:pt>
                <c:pt idx="18">
                  <c:v>1.0374951328385185</c:v>
                </c:pt>
                <c:pt idx="19">
                  <c:v>1.0941157608933334</c:v>
                </c:pt>
                <c:pt idx="20">
                  <c:v>1.1507363889481481</c:v>
                </c:pt>
                <c:pt idx="21">
                  <c:v>1.2073570170029631</c:v>
                </c:pt>
                <c:pt idx="22">
                  <c:v>1.2639776450577778</c:v>
                </c:pt>
                <c:pt idx="23">
                  <c:v>1.3205982731125927</c:v>
                </c:pt>
                <c:pt idx="24">
                  <c:v>1.3772189011674074</c:v>
                </c:pt>
                <c:pt idx="25">
                  <c:v>1.4338395292222224</c:v>
                </c:pt>
                <c:pt idx="26">
                  <c:v>1.4904601572770371</c:v>
                </c:pt>
                <c:pt idx="27">
                  <c:v>1.547080785331852</c:v>
                </c:pt>
                <c:pt idx="28">
                  <c:v>1.6037014133866667</c:v>
                </c:pt>
                <c:pt idx="29">
                  <c:v>1.6603220414414817</c:v>
                </c:pt>
                <c:pt idx="30">
                  <c:v>1.7169426694962964</c:v>
                </c:pt>
                <c:pt idx="31">
                  <c:v>1.7735632975511113</c:v>
                </c:pt>
                <c:pt idx="32">
                  <c:v>1.830183925605926</c:v>
                </c:pt>
                <c:pt idx="33">
                  <c:v>1.8868045536607407</c:v>
                </c:pt>
                <c:pt idx="34">
                  <c:v>1.9434251817155557</c:v>
                </c:pt>
                <c:pt idx="35">
                  <c:v>2.0000458097703704</c:v>
                </c:pt>
                <c:pt idx="36">
                  <c:v>2.0566664378251853</c:v>
                </c:pt>
                <c:pt idx="37">
                  <c:v>2.1132870658800003</c:v>
                </c:pt>
                <c:pt idx="38">
                  <c:v>2.1699076939348152</c:v>
                </c:pt>
                <c:pt idx="39">
                  <c:v>2.2265283219896301</c:v>
                </c:pt>
                <c:pt idx="40">
                  <c:v>2.2831489500444446</c:v>
                </c:pt>
                <c:pt idx="41">
                  <c:v>2.3397695780992596</c:v>
                </c:pt>
                <c:pt idx="42">
                  <c:v>2.3963902061540745</c:v>
                </c:pt>
                <c:pt idx="43">
                  <c:v>2.4530108342088894</c:v>
                </c:pt>
                <c:pt idx="44">
                  <c:v>2.5096314622637039</c:v>
                </c:pt>
                <c:pt idx="45">
                  <c:v>2.5662520903185189</c:v>
                </c:pt>
                <c:pt idx="46">
                  <c:v>2.6228727183733338</c:v>
                </c:pt>
                <c:pt idx="47">
                  <c:v>2.6794933464281487</c:v>
                </c:pt>
                <c:pt idx="48">
                  <c:v>2.7361139744829632</c:v>
                </c:pt>
                <c:pt idx="49">
                  <c:v>2.7927346025377782</c:v>
                </c:pt>
                <c:pt idx="50">
                  <c:v>2.8493552305925931</c:v>
                </c:pt>
                <c:pt idx="51">
                  <c:v>2.9059758586474076</c:v>
                </c:pt>
                <c:pt idx="52">
                  <c:v>2.9625964867022225</c:v>
                </c:pt>
                <c:pt idx="53">
                  <c:v>3.0192171147570375</c:v>
                </c:pt>
                <c:pt idx="54">
                  <c:v>3.0758377428118524</c:v>
                </c:pt>
                <c:pt idx="55">
                  <c:v>3.1324583708666669</c:v>
                </c:pt>
                <c:pt idx="56">
                  <c:v>3.1890789989214818</c:v>
                </c:pt>
                <c:pt idx="57">
                  <c:v>3.2456996269762968</c:v>
                </c:pt>
                <c:pt idx="58">
                  <c:v>3.3023202550311117</c:v>
                </c:pt>
                <c:pt idx="59">
                  <c:v>3.3589408830859262</c:v>
                </c:pt>
                <c:pt idx="60">
                  <c:v>3.4155615111407411</c:v>
                </c:pt>
                <c:pt idx="61">
                  <c:v>3.4721821391955561</c:v>
                </c:pt>
                <c:pt idx="62">
                  <c:v>3.528802767250371</c:v>
                </c:pt>
                <c:pt idx="63">
                  <c:v>3.5854233953051855</c:v>
                </c:pt>
                <c:pt idx="64">
                  <c:v>3.6420440233600004</c:v>
                </c:pt>
                <c:pt idx="65">
                  <c:v>3.6986646514148154</c:v>
                </c:pt>
                <c:pt idx="66">
                  <c:v>3.7552852794696299</c:v>
                </c:pt>
                <c:pt idx="67">
                  <c:v>3.8119059075244448</c:v>
                </c:pt>
                <c:pt idx="68">
                  <c:v>3.8685265355792597</c:v>
                </c:pt>
                <c:pt idx="69">
                  <c:v>3.9251471636340747</c:v>
                </c:pt>
                <c:pt idx="70">
                  <c:v>3.9817677916888892</c:v>
                </c:pt>
                <c:pt idx="71">
                  <c:v>4.0383884197437041</c:v>
                </c:pt>
                <c:pt idx="72">
                  <c:v>4.0950090477985182</c:v>
                </c:pt>
                <c:pt idx="73">
                  <c:v>4.1516296758533331</c:v>
                </c:pt>
                <c:pt idx="74">
                  <c:v>4.208250303908148</c:v>
                </c:pt>
                <c:pt idx="75">
                  <c:v>4.264870931962963</c:v>
                </c:pt>
                <c:pt idx="76">
                  <c:v>4.3214915600177779</c:v>
                </c:pt>
                <c:pt idx="77">
                  <c:v>4.3781121880725928</c:v>
                </c:pt>
                <c:pt idx="78">
                  <c:v>4.4347328161274078</c:v>
                </c:pt>
                <c:pt idx="79">
                  <c:v>4.4913534441822227</c:v>
                </c:pt>
                <c:pt idx="80">
                  <c:v>4.5479740722370368</c:v>
                </c:pt>
                <c:pt idx="81">
                  <c:v>4.6045947002918517</c:v>
                </c:pt>
                <c:pt idx="82">
                  <c:v>4.6612153283466666</c:v>
                </c:pt>
                <c:pt idx="83">
                  <c:v>4.7178359564014816</c:v>
                </c:pt>
                <c:pt idx="84">
                  <c:v>4.7744565844562965</c:v>
                </c:pt>
                <c:pt idx="85">
                  <c:v>4.8310772125111114</c:v>
                </c:pt>
                <c:pt idx="86">
                  <c:v>4.8876978405659264</c:v>
                </c:pt>
                <c:pt idx="87">
                  <c:v>4.9443184686207404</c:v>
                </c:pt>
                <c:pt idx="88">
                  <c:v>5.0009390966755554</c:v>
                </c:pt>
                <c:pt idx="89">
                  <c:v>5.0575597247303703</c:v>
                </c:pt>
                <c:pt idx="90">
                  <c:v>5.1141803527851852</c:v>
                </c:pt>
                <c:pt idx="91">
                  <c:v>5.1708009808400002</c:v>
                </c:pt>
                <c:pt idx="92">
                  <c:v>5.2274216088948151</c:v>
                </c:pt>
                <c:pt idx="93">
                  <c:v>5.28404223694963</c:v>
                </c:pt>
                <c:pt idx="94">
                  <c:v>5.340662865004445</c:v>
                </c:pt>
                <c:pt idx="95">
                  <c:v>5.397283493059259</c:v>
                </c:pt>
                <c:pt idx="96">
                  <c:v>5.453904121114074</c:v>
                </c:pt>
                <c:pt idx="97">
                  <c:v>5.5105247491688889</c:v>
                </c:pt>
                <c:pt idx="98">
                  <c:v>5.5671453772237038</c:v>
                </c:pt>
                <c:pt idx="99">
                  <c:v>5.6237660052785188</c:v>
                </c:pt>
                <c:pt idx="100">
                  <c:v>5.6803866333333337</c:v>
                </c:pt>
              </c:numCache>
            </c:numRef>
          </c:xVal>
          <c:yVal>
            <c:numRef>
              <c:f>'C1'!$AZ$14:$AZ$1014</c:f>
              <c:numCache>
                <c:formatCode>General</c:formatCode>
                <c:ptCount val="1001"/>
                <c:pt idx="0">
                  <c:v>5.3736086550451327</c:v>
                </c:pt>
                <c:pt idx="1">
                  <c:v>5.3822682364092449</c:v>
                </c:pt>
                <c:pt idx="2">
                  <c:v>5.3887461267354544</c:v>
                </c:pt>
                <c:pt idx="3">
                  <c:v>5.3931199448611284</c:v>
                </c:pt>
                <c:pt idx="4">
                  <c:v>5.3954657053199497</c:v>
                </c:pt>
                <c:pt idx="5">
                  <c:v>5.395857818341919</c:v>
                </c:pt>
                <c:pt idx="6">
                  <c:v>5.3943690898533552</c:v>
                </c:pt>
                <c:pt idx="7">
                  <c:v>5.3910707214768969</c:v>
                </c:pt>
                <c:pt idx="8">
                  <c:v>5.3860323105314967</c:v>
                </c:pt>
                <c:pt idx="9">
                  <c:v>5.3793218500324285</c:v>
                </c:pt>
                <c:pt idx="10">
                  <c:v>5.3710057286912809</c:v>
                </c:pt>
                <c:pt idx="11">
                  <c:v>5.3611487309159633</c:v>
                </c:pt>
                <c:pt idx="12">
                  <c:v>5.3498140368107006</c:v>
                </c:pt>
                <c:pt idx="13">
                  <c:v>5.3370632221760355</c:v>
                </c:pt>
                <c:pt idx="14">
                  <c:v>5.3229562585088308</c:v>
                </c:pt>
                <c:pt idx="15">
                  <c:v>5.3075515130022648</c:v>
                </c:pt>
                <c:pt idx="16">
                  <c:v>5.2909057485458337</c:v>
                </c:pt>
                <c:pt idx="17">
                  <c:v>5.273074123725352</c:v>
                </c:pt>
                <c:pt idx="18">
                  <c:v>5.254110192822953</c:v>
                </c:pt>
                <c:pt idx="19">
                  <c:v>5.2340659058170864</c:v>
                </c:pt>
                <c:pt idx="20">
                  <c:v>5.2129916083825192</c:v>
                </c:pt>
                <c:pt idx="21">
                  <c:v>5.1909360418903372</c:v>
                </c:pt>
                <c:pt idx="22">
                  <c:v>5.1679463434079445</c:v>
                </c:pt>
                <c:pt idx="23">
                  <c:v>5.1440680456990622</c:v>
                </c:pt>
                <c:pt idx="24">
                  <c:v>5.1193450772237279</c:v>
                </c:pt>
                <c:pt idx="25">
                  <c:v>5.093819762138299</c:v>
                </c:pt>
                <c:pt idx="26">
                  <c:v>5.0675328202954502</c:v>
                </c:pt>
                <c:pt idx="27">
                  <c:v>5.040523367244174</c:v>
                </c:pt>
                <c:pt idx="28">
                  <c:v>5.0128289142297788</c:v>
                </c:pt>
                <c:pt idx="29">
                  <c:v>4.9844853681938943</c:v>
                </c:pt>
                <c:pt idx="30">
                  <c:v>4.9555270317744649</c:v>
                </c:pt>
                <c:pt idx="31">
                  <c:v>4.9259866033057538</c:v>
                </c:pt>
                <c:pt idx="32">
                  <c:v>4.8958951768183416</c:v>
                </c:pt>
                <c:pt idx="33">
                  <c:v>4.865282242039128</c:v>
                </c:pt>
                <c:pt idx="34">
                  <c:v>4.8341756843913295</c:v>
                </c:pt>
                <c:pt idx="35">
                  <c:v>4.8026017849944802</c:v>
                </c:pt>
                <c:pt idx="36">
                  <c:v>4.7705852206644312</c:v>
                </c:pt>
                <c:pt idx="37">
                  <c:v>4.7381490639133546</c:v>
                </c:pt>
                <c:pt idx="38">
                  <c:v>4.7053147829497357</c:v>
                </c:pt>
                <c:pt idx="39">
                  <c:v>4.6721022416783811</c:v>
                </c:pt>
                <c:pt idx="40">
                  <c:v>4.6385296997004142</c:v>
                </c:pt>
                <c:pt idx="41">
                  <c:v>4.6046138123132749</c:v>
                </c:pt>
                <c:pt idx="42">
                  <c:v>4.5703696305107231</c:v>
                </c:pt>
                <c:pt idx="43">
                  <c:v>4.5358106009828347</c:v>
                </c:pt>
                <c:pt idx="44">
                  <c:v>4.500948566116004</c:v>
                </c:pt>
                <c:pt idx="45">
                  <c:v>4.4657937639929424</c:v>
                </c:pt>
                <c:pt idx="46">
                  <c:v>4.4303548283926801</c:v>
                </c:pt>
                <c:pt idx="47">
                  <c:v>4.3946387887905649</c:v>
                </c:pt>
                <c:pt idx="48">
                  <c:v>4.3586510703582615</c:v>
                </c:pt>
                <c:pt idx="49">
                  <c:v>4.3223954939637537</c:v>
                </c:pt>
                <c:pt idx="50">
                  <c:v>4.2858742761713424</c:v>
                </c:pt>
                <c:pt idx="51">
                  <c:v>4.249088029241646</c:v>
                </c:pt>
                <c:pt idx="52">
                  <c:v>4.2120357611316006</c:v>
                </c:pt>
                <c:pt idx="53">
                  <c:v>4.174714875494459</c:v>
                </c:pt>
                <c:pt idx="54">
                  <c:v>4.1371211716797962</c:v>
                </c:pt>
                <c:pt idx="55">
                  <c:v>4.0992488447335003</c:v>
                </c:pt>
                <c:pt idx="56">
                  <c:v>4.0610904853977789</c:v>
                </c:pt>
                <c:pt idx="57">
                  <c:v>4.0226370801111546</c:v>
                </c:pt>
                <c:pt idx="58">
                  <c:v>3.9838780110084748</c:v>
                </c:pt>
                <c:pt idx="59">
                  <c:v>3.9448010559208981</c:v>
                </c:pt>
                <c:pt idx="60">
                  <c:v>3.9053923883759034</c:v>
                </c:pt>
                <c:pt idx="61">
                  <c:v>3.8656365775972867</c:v>
                </c:pt>
                <c:pt idx="62">
                  <c:v>3.825516588505161</c:v>
                </c:pt>
                <c:pt idx="63">
                  <c:v>3.7850137817159597</c:v>
                </c:pt>
                <c:pt idx="64">
                  <c:v>3.744107913542432</c:v>
                </c:pt>
                <c:pt idx="65">
                  <c:v>3.7027771359936454</c:v>
                </c:pt>
                <c:pt idx="66">
                  <c:v>3.6609979967749857</c:v>
                </c:pt>
                <c:pt idx="67">
                  <c:v>3.6187454392881544</c:v>
                </c:pt>
                <c:pt idx="68">
                  <c:v>3.5759928026311716</c:v>
                </c:pt>
                <c:pt idx="69">
                  <c:v>3.5327118215983777</c:v>
                </c:pt>
                <c:pt idx="70">
                  <c:v>3.4888726266804273</c:v>
                </c:pt>
                <c:pt idx="71">
                  <c:v>3.4444437440642948</c:v>
                </c:pt>
                <c:pt idx="72">
                  <c:v>3.3993920956332744</c:v>
                </c:pt>
                <c:pt idx="73">
                  <c:v>3.3536829989669714</c:v>
                </c:pt>
                <c:pt idx="74">
                  <c:v>3.3072801673413155</c:v>
                </c:pt>
                <c:pt idx="75">
                  <c:v>3.2601457097285502</c:v>
                </c:pt>
                <c:pt idx="76">
                  <c:v>3.2122401307972419</c:v>
                </c:pt>
                <c:pt idx="77">
                  <c:v>3.1635223309122669</c:v>
                </c:pt>
                <c:pt idx="78">
                  <c:v>3.1139496061348249</c:v>
                </c:pt>
                <c:pt idx="79">
                  <c:v>3.0634776482224328</c:v>
                </c:pt>
                <c:pt idx="80">
                  <c:v>3.0120605446289255</c:v>
                </c:pt>
                <c:pt idx="81">
                  <c:v>2.9596507785044515</c:v>
                </c:pt>
                <c:pt idx="82">
                  <c:v>2.9061992286954825</c:v>
                </c:pt>
                <c:pt idx="83">
                  <c:v>2.8516551697448054</c:v>
                </c:pt>
                <c:pt idx="84">
                  <c:v>2.7959662718915248</c:v>
                </c:pt>
                <c:pt idx="85">
                  <c:v>2.7390786010710633</c:v>
                </c:pt>
                <c:pt idx="86">
                  <c:v>2.6809366189151618</c:v>
                </c:pt>
                <c:pt idx="87">
                  <c:v>2.621483182751879</c:v>
                </c:pt>
                <c:pt idx="88">
                  <c:v>2.5606595456055876</c:v>
                </c:pt>
                <c:pt idx="89">
                  <c:v>2.4984053561969848</c:v>
                </c:pt>
                <c:pt idx="90">
                  <c:v>2.434658658943083</c:v>
                </c:pt>
                <c:pt idx="91">
                  <c:v>2.3693558939572092</c:v>
                </c:pt>
                <c:pt idx="92">
                  <c:v>2.3024318970490101</c:v>
                </c:pt>
                <c:pt idx="93">
                  <c:v>2.2338198997244532</c:v>
                </c:pt>
                <c:pt idx="94">
                  <c:v>2.1634515291858212</c:v>
                </c:pt>
                <c:pt idx="95">
                  <c:v>2.0912568083317096</c:v>
                </c:pt>
                <c:pt idx="96">
                  <c:v>2.0171641557570421</c:v>
                </c:pt>
                <c:pt idx="97">
                  <c:v>1.9411003857530496</c:v>
                </c:pt>
                <c:pt idx="98">
                  <c:v>1.8629907083072919</c:v>
                </c:pt>
                <c:pt idx="99">
                  <c:v>1.7827587291036346</c:v>
                </c:pt>
                <c:pt idx="100">
                  <c:v>1.7003264495222723</c:v>
                </c:pt>
              </c:numCache>
            </c:numRef>
          </c:yVal>
          <c:smooth val="0"/>
          <c:extLst>
            <c:ext xmlns:c16="http://schemas.microsoft.com/office/drawing/2014/chart" uri="{C3380CC4-5D6E-409C-BE32-E72D297353CC}">
              <c16:uniqueId val="{00000002-A875-4408-854D-8D7538D2AEAE}"/>
            </c:ext>
          </c:extLst>
        </c:ser>
        <c:ser>
          <c:idx val="1"/>
          <c:order val="2"/>
          <c:tx>
            <c:v>サンプルデータ</c:v>
          </c:tx>
          <c:spPr>
            <a:ln w="19050" cap="rnd">
              <a:noFill/>
              <a:round/>
            </a:ln>
            <a:effectLst/>
          </c:spPr>
          <c:marker>
            <c:symbol val="circle"/>
            <c:size val="5"/>
            <c:spPr>
              <a:solidFill>
                <a:schemeClr val="bg1"/>
              </a:solidFill>
              <a:ln w="9525">
                <a:solidFill>
                  <a:srgbClr val="FF0000"/>
                </a:solidFill>
              </a:ln>
              <a:effectLst/>
            </c:spPr>
          </c:marker>
          <c:xVal>
            <c:numRef>
              <c:f>'C1'!$Q$11:$Q$110</c:f>
              <c:numCache>
                <c:formatCode>General</c:formatCode>
                <c:ptCount val="100"/>
                <c:pt idx="0">
                  <c:v>1.832382785185185E-2</c:v>
                </c:pt>
                <c:pt idx="1">
                  <c:v>0.20156210629629631</c:v>
                </c:pt>
                <c:pt idx="2">
                  <c:v>0.40312421259259262</c:v>
                </c:pt>
                <c:pt idx="3">
                  <c:v>0.59552440506172843</c:v>
                </c:pt>
                <c:pt idx="4">
                  <c:v>0.82457225308641968</c:v>
                </c:pt>
                <c:pt idx="5">
                  <c:v>1.0169724455555555</c:v>
                </c:pt>
                <c:pt idx="6">
                  <c:v>1.1544011544444444</c:v>
                </c:pt>
                <c:pt idx="7">
                  <c:v>1.291829862962963</c:v>
                </c:pt>
                <c:pt idx="8">
                  <c:v>1.4567443135802469</c:v>
                </c:pt>
                <c:pt idx="9">
                  <c:v>1.6674683345679011</c:v>
                </c:pt>
                <c:pt idx="10">
                  <c:v>1.8873542679012347</c:v>
                </c:pt>
                <c:pt idx="11">
                  <c:v>2.1255640308641981</c:v>
                </c:pt>
                <c:pt idx="12">
                  <c:v>2.3088023086419751</c:v>
                </c:pt>
                <c:pt idx="13">
                  <c:v>2.5470120703703705</c:v>
                </c:pt>
                <c:pt idx="14">
                  <c:v>2.7302503493827155</c:v>
                </c:pt>
                <c:pt idx="15">
                  <c:v>2.9684601111111117</c:v>
                </c:pt>
                <c:pt idx="16">
                  <c:v>3.2341556148148149</c:v>
                </c:pt>
                <c:pt idx="17">
                  <c:v>3.4723653765432103</c:v>
                </c:pt>
                <c:pt idx="18">
                  <c:v>3.6464417419753086</c:v>
                </c:pt>
                <c:pt idx="19">
                  <c:v>3.7930323641975305</c:v>
                </c:pt>
                <c:pt idx="20">
                  <c:v>3.9396229876543205</c:v>
                </c:pt>
                <c:pt idx="21">
                  <c:v>4.150347007407408</c:v>
                </c:pt>
                <c:pt idx="22">
                  <c:v>4.2786138024691365</c:v>
                </c:pt>
                <c:pt idx="23">
                  <c:v>4.406880597530864</c:v>
                </c:pt>
                <c:pt idx="24">
                  <c:v>4.5717950481481484</c:v>
                </c:pt>
                <c:pt idx="25">
                  <c:v>4.7367094987654328</c:v>
                </c:pt>
                <c:pt idx="26">
                  <c:v>4.8924620358024686</c:v>
                </c:pt>
                <c:pt idx="27">
                  <c:v>5.0665384000000007</c:v>
                </c:pt>
                <c:pt idx="28">
                  <c:v>5.1948051950617282</c:v>
                </c:pt>
                <c:pt idx="29">
                  <c:v>5.3047481617283943</c:v>
                </c:pt>
                <c:pt idx="30">
                  <c:v>5.3963673012345676</c:v>
                </c:pt>
                <c:pt idx="31">
                  <c:v>5.4788245259259263</c:v>
                </c:pt>
                <c:pt idx="32">
                  <c:v>5.5704436654320979</c:v>
                </c:pt>
                <c:pt idx="33">
                  <c:v>5.6803866333333337</c:v>
                </c:pt>
              </c:numCache>
              <c:extLst xmlns:c15="http://schemas.microsoft.com/office/drawing/2012/chart"/>
            </c:numRef>
          </c:xVal>
          <c:yVal>
            <c:numRef>
              <c:f>'C1'!$P$11:$P$110</c:f>
              <c:numCache>
                <c:formatCode>General</c:formatCode>
                <c:ptCount val="100"/>
                <c:pt idx="0">
                  <c:v>5.3783982472693141</c:v>
                </c:pt>
                <c:pt idx="1">
                  <c:v>5.3895567500253021</c:v>
                </c:pt>
                <c:pt idx="2">
                  <c:v>5.3672397457240235</c:v>
                </c:pt>
                <c:pt idx="3">
                  <c:v>5.3783982472693141</c:v>
                </c:pt>
                <c:pt idx="4">
                  <c:v>5.3226057347000735</c:v>
                </c:pt>
                <c:pt idx="5">
                  <c:v>5.2668132221308346</c:v>
                </c:pt>
                <c:pt idx="6">
                  <c:v>5.2221792111068828</c:v>
                </c:pt>
                <c:pt idx="7">
                  <c:v>5.1775452012936292</c:v>
                </c:pt>
                <c:pt idx="8">
                  <c:v>5.0882771804564246</c:v>
                </c:pt>
                <c:pt idx="9">
                  <c:v>4.9878506568632339</c:v>
                </c:pt>
                <c:pt idx="10">
                  <c:v>4.8539486262127767</c:v>
                </c:pt>
                <c:pt idx="11">
                  <c:v>4.7200465955623203</c:v>
                </c:pt>
                <c:pt idx="12">
                  <c:v>4.5973030664571546</c:v>
                </c:pt>
                <c:pt idx="13">
                  <c:v>4.4857180401079759</c:v>
                </c:pt>
                <c:pt idx="14">
                  <c:v>4.3518160094575196</c:v>
                </c:pt>
                <c:pt idx="15">
                  <c:v>4.1844384705390993</c:v>
                </c:pt>
                <c:pt idx="16">
                  <c:v>4.01706093162068</c:v>
                </c:pt>
                <c:pt idx="17">
                  <c:v>3.8720003982142344</c:v>
                </c:pt>
                <c:pt idx="18">
                  <c:v>3.7604153718650557</c:v>
                </c:pt>
                <c:pt idx="19">
                  <c:v>3.6376718439705855</c:v>
                </c:pt>
                <c:pt idx="20">
                  <c:v>3.5260868176214069</c:v>
                </c:pt>
                <c:pt idx="21">
                  <c:v>3.4033432897269384</c:v>
                </c:pt>
                <c:pt idx="22">
                  <c:v>3.2694412578657834</c:v>
                </c:pt>
                <c:pt idx="23">
                  <c:v>3.1355392272153266</c:v>
                </c:pt>
                <c:pt idx="24">
                  <c:v>2.9793201910528953</c:v>
                </c:pt>
                <c:pt idx="25">
                  <c:v>2.823101154890463</c:v>
                </c:pt>
                <c:pt idx="26">
                  <c:v>2.6780406214840182</c:v>
                </c:pt>
                <c:pt idx="27">
                  <c:v>2.4771875742976355</c:v>
                </c:pt>
                <c:pt idx="28">
                  <c:v>2.3209685381352037</c:v>
                </c:pt>
                <c:pt idx="29">
                  <c:v>2.1870665074847464</c:v>
                </c:pt>
                <c:pt idx="30">
                  <c:v>2.0754814811355682</c:v>
                </c:pt>
                <c:pt idx="31">
                  <c:v>1.9638964559970862</c:v>
                </c:pt>
                <c:pt idx="32">
                  <c:v>1.8746284351598828</c:v>
                </c:pt>
                <c:pt idx="33">
                  <c:v>1.7407264032987282</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1-A875-4408-854D-8D7538D2AEAE}"/>
            </c:ext>
          </c:extLst>
        </c:ser>
        <c:dLbls>
          <c:showLegendKey val="0"/>
          <c:showVal val="0"/>
          <c:showCatName val="0"/>
          <c:showSerName val="0"/>
          <c:showPercent val="0"/>
          <c:showBubbleSize val="0"/>
        </c:dLbls>
        <c:axId val="1866239839"/>
        <c:axId val="1705784463"/>
        <c:extLst/>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C</a:t>
                </a:r>
                <a:r>
                  <a:rPr lang="en-US" altLang="ja-JP" baseline="-25000"/>
                  <a:t>f</a:t>
                </a:r>
                <a:r>
                  <a:rPr lang="en-US" altLang="ja-JP"/>
                  <a:t>[-]</a:t>
                </a:r>
                <a:endParaRPr lang="ja-JP" altLang="en-US"/>
              </a:p>
            </c:rich>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C</a:t>
                </a:r>
                <a:r>
                  <a:rPr lang="en-US" altLang="ja-JP" baseline="-25000"/>
                  <a:t>h</a:t>
                </a:r>
                <a:r>
                  <a:rPr lang="en-US" altLang="ja-JP"/>
                  <a:t>[-]</a:t>
                </a:r>
                <a:endParaRPr lang="ja-JP" altLang="en-US"/>
              </a:p>
            </c:rich>
          </c:tx>
          <c:layout>
            <c:manualLayout>
              <c:xMode val="edge"/>
              <c:yMode val="edge"/>
              <c:x val="2.4939783761597713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spPr>
        <a:solidFill>
          <a:schemeClr val="bg1"/>
        </a:solidFill>
        <a:ln>
          <a:noFill/>
        </a:ln>
        <a:effectLst/>
      </c:spPr>
    </c:plotArea>
    <c:legend>
      <c:legendPos val="t"/>
      <c:layout>
        <c:manualLayout>
          <c:xMode val="edge"/>
          <c:yMode val="edge"/>
          <c:x val="0"/>
          <c:y val="8.23045267489712E-3"/>
          <c:w val="0.99917695473251034"/>
          <c:h val="5.884812546579825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none"/>
          </c:marker>
          <c:xVal>
            <c:numRef>
              <c:f>'C1'!$DD$12:$DD$1012</c:f>
              <c:numCache>
                <c:formatCode>General</c:formatCode>
                <c:ptCount val="1001"/>
                <c:pt idx="0">
                  <c:v>1.832382785185185E-2</c:v>
                </c:pt>
                <c:pt idx="1">
                  <c:v>2.3985890657333333E-2</c:v>
                </c:pt>
                <c:pt idx="2">
                  <c:v>2.9647953462814812E-2</c:v>
                </c:pt>
                <c:pt idx="3">
                  <c:v>3.5310016268296295E-2</c:v>
                </c:pt>
                <c:pt idx="4">
                  <c:v>4.0972079073777777E-2</c:v>
                </c:pt>
                <c:pt idx="5">
                  <c:v>4.663414187925926E-2</c:v>
                </c:pt>
                <c:pt idx="6">
                  <c:v>5.2296204684740735E-2</c:v>
                </c:pt>
                <c:pt idx="7">
                  <c:v>5.7958267490222218E-2</c:v>
                </c:pt>
                <c:pt idx="8">
                  <c:v>6.36203302957037E-2</c:v>
                </c:pt>
                <c:pt idx="9">
                  <c:v>6.9282393101185183E-2</c:v>
                </c:pt>
                <c:pt idx="10">
                  <c:v>7.4944455906666665E-2</c:v>
                </c:pt>
                <c:pt idx="11">
                  <c:v>8.0606518712148148E-2</c:v>
                </c:pt>
                <c:pt idx="12">
                  <c:v>8.6268581517629631E-2</c:v>
                </c:pt>
                <c:pt idx="13">
                  <c:v>9.1930644323111113E-2</c:v>
                </c:pt>
                <c:pt idx="14">
                  <c:v>9.7592707128592596E-2</c:v>
                </c:pt>
                <c:pt idx="15">
                  <c:v>0.10325476993407408</c:v>
                </c:pt>
                <c:pt idx="16">
                  <c:v>0.10891683273955556</c:v>
                </c:pt>
                <c:pt idx="17">
                  <c:v>0.11457889554503704</c:v>
                </c:pt>
                <c:pt idx="18">
                  <c:v>0.12024095835051853</c:v>
                </c:pt>
                <c:pt idx="19">
                  <c:v>0.12590302115599999</c:v>
                </c:pt>
                <c:pt idx="20">
                  <c:v>0.13156508396148148</c:v>
                </c:pt>
                <c:pt idx="21">
                  <c:v>0.13722714676696296</c:v>
                </c:pt>
                <c:pt idx="22">
                  <c:v>0.14288920957244444</c:v>
                </c:pt>
                <c:pt idx="23">
                  <c:v>0.14855127237792592</c:v>
                </c:pt>
                <c:pt idx="24">
                  <c:v>0.15421333518340741</c:v>
                </c:pt>
                <c:pt idx="25">
                  <c:v>0.15987539798888889</c:v>
                </c:pt>
                <c:pt idx="26">
                  <c:v>0.16553746079437037</c:v>
                </c:pt>
                <c:pt idx="27">
                  <c:v>0.17119952359985185</c:v>
                </c:pt>
                <c:pt idx="28">
                  <c:v>0.17686158640533334</c:v>
                </c:pt>
                <c:pt idx="29">
                  <c:v>0.18252364921081482</c:v>
                </c:pt>
                <c:pt idx="30">
                  <c:v>0.1881857120162963</c:v>
                </c:pt>
                <c:pt idx="31">
                  <c:v>0.19384777482177779</c:v>
                </c:pt>
                <c:pt idx="32">
                  <c:v>0.19950983762725927</c:v>
                </c:pt>
                <c:pt idx="33">
                  <c:v>0.20517190043274075</c:v>
                </c:pt>
                <c:pt idx="34">
                  <c:v>0.21083396323822223</c:v>
                </c:pt>
                <c:pt idx="35">
                  <c:v>0.21649602604370372</c:v>
                </c:pt>
                <c:pt idx="36">
                  <c:v>0.2221580888491852</c:v>
                </c:pt>
                <c:pt idx="37">
                  <c:v>0.22782015165466668</c:v>
                </c:pt>
                <c:pt idx="38">
                  <c:v>0.23348221446014816</c:v>
                </c:pt>
                <c:pt idx="39">
                  <c:v>0.23914427726562965</c:v>
                </c:pt>
                <c:pt idx="40">
                  <c:v>0.24480634007111113</c:v>
                </c:pt>
                <c:pt idx="41">
                  <c:v>0.25046840287659261</c:v>
                </c:pt>
                <c:pt idx="42">
                  <c:v>0.25613046568207409</c:v>
                </c:pt>
                <c:pt idx="43">
                  <c:v>0.26179252848755558</c:v>
                </c:pt>
                <c:pt idx="44">
                  <c:v>0.26745459129303706</c:v>
                </c:pt>
                <c:pt idx="45">
                  <c:v>0.27311665409851849</c:v>
                </c:pt>
                <c:pt idx="46">
                  <c:v>0.27877871690399997</c:v>
                </c:pt>
                <c:pt idx="47">
                  <c:v>0.28444077970948145</c:v>
                </c:pt>
                <c:pt idx="48">
                  <c:v>0.29010284251496293</c:v>
                </c:pt>
                <c:pt idx="49">
                  <c:v>0.29576490532044442</c:v>
                </c:pt>
                <c:pt idx="50">
                  <c:v>0.3014269681259259</c:v>
                </c:pt>
                <c:pt idx="51">
                  <c:v>0.30708903093140738</c:v>
                </c:pt>
                <c:pt idx="52">
                  <c:v>0.31275109373688886</c:v>
                </c:pt>
                <c:pt idx="53">
                  <c:v>0.31841315654237035</c:v>
                </c:pt>
                <c:pt idx="54">
                  <c:v>0.32407521934785183</c:v>
                </c:pt>
                <c:pt idx="55">
                  <c:v>0.32973728215333331</c:v>
                </c:pt>
                <c:pt idx="56">
                  <c:v>0.33539934495881479</c:v>
                </c:pt>
                <c:pt idx="57">
                  <c:v>0.34106140776429628</c:v>
                </c:pt>
                <c:pt idx="58">
                  <c:v>0.34672347056977776</c:v>
                </c:pt>
                <c:pt idx="59">
                  <c:v>0.35238553337525924</c:v>
                </c:pt>
                <c:pt idx="60">
                  <c:v>0.35804759618074072</c:v>
                </c:pt>
                <c:pt idx="61">
                  <c:v>0.36370965898622221</c:v>
                </c:pt>
                <c:pt idx="62">
                  <c:v>0.36937172179170369</c:v>
                </c:pt>
                <c:pt idx="63">
                  <c:v>0.37503378459718517</c:v>
                </c:pt>
                <c:pt idx="64">
                  <c:v>0.38069584740266665</c:v>
                </c:pt>
                <c:pt idx="65">
                  <c:v>0.38635791020814814</c:v>
                </c:pt>
                <c:pt idx="66">
                  <c:v>0.39201997301362962</c:v>
                </c:pt>
                <c:pt idx="67">
                  <c:v>0.3976820358191111</c:v>
                </c:pt>
                <c:pt idx="68">
                  <c:v>0.40334409862459258</c:v>
                </c:pt>
                <c:pt idx="69">
                  <c:v>0.40900616143007407</c:v>
                </c:pt>
                <c:pt idx="70">
                  <c:v>0.41466822423555555</c:v>
                </c:pt>
                <c:pt idx="71">
                  <c:v>0.42033028704103703</c:v>
                </c:pt>
                <c:pt idx="72">
                  <c:v>0.42599234984651851</c:v>
                </c:pt>
                <c:pt idx="73">
                  <c:v>0.431654412652</c:v>
                </c:pt>
                <c:pt idx="74">
                  <c:v>0.43731647545748148</c:v>
                </c:pt>
                <c:pt idx="75">
                  <c:v>0.44297853826296296</c:v>
                </c:pt>
                <c:pt idx="76">
                  <c:v>0.44864060106844444</c:v>
                </c:pt>
                <c:pt idx="77">
                  <c:v>0.45430266387392593</c:v>
                </c:pt>
                <c:pt idx="78">
                  <c:v>0.45996472667940741</c:v>
                </c:pt>
                <c:pt idx="79">
                  <c:v>0.46562678948488889</c:v>
                </c:pt>
                <c:pt idx="80">
                  <c:v>0.47128885229037037</c:v>
                </c:pt>
                <c:pt idx="81">
                  <c:v>0.47695091509585186</c:v>
                </c:pt>
                <c:pt idx="82">
                  <c:v>0.48261297790133334</c:v>
                </c:pt>
                <c:pt idx="83">
                  <c:v>0.48827504070681482</c:v>
                </c:pt>
                <c:pt idx="84">
                  <c:v>0.4939371035122963</c:v>
                </c:pt>
                <c:pt idx="85">
                  <c:v>0.49959916631777779</c:v>
                </c:pt>
                <c:pt idx="86">
                  <c:v>0.50526122912325933</c:v>
                </c:pt>
                <c:pt idx="87">
                  <c:v>0.51092329192874075</c:v>
                </c:pt>
                <c:pt idx="88">
                  <c:v>0.51658535473422229</c:v>
                </c:pt>
                <c:pt idx="89">
                  <c:v>0.52224741753970372</c:v>
                </c:pt>
                <c:pt idx="90">
                  <c:v>0.52790948034518514</c:v>
                </c:pt>
                <c:pt idx="91">
                  <c:v>0.53357154315066668</c:v>
                </c:pt>
                <c:pt idx="92">
                  <c:v>0.53923360595614811</c:v>
                </c:pt>
                <c:pt idx="93">
                  <c:v>0.54489566876162965</c:v>
                </c:pt>
                <c:pt idx="94">
                  <c:v>0.55055773156711107</c:v>
                </c:pt>
                <c:pt idx="95">
                  <c:v>0.55621979437259261</c:v>
                </c:pt>
                <c:pt idx="96">
                  <c:v>0.56188185717807404</c:v>
                </c:pt>
                <c:pt idx="97">
                  <c:v>0.56754391998355558</c:v>
                </c:pt>
                <c:pt idx="98">
                  <c:v>0.57320598278903701</c:v>
                </c:pt>
                <c:pt idx="99">
                  <c:v>0.57886804559451854</c:v>
                </c:pt>
                <c:pt idx="100">
                  <c:v>0.58453010839999997</c:v>
                </c:pt>
                <c:pt idx="101">
                  <c:v>0.59019217120548151</c:v>
                </c:pt>
                <c:pt idx="102">
                  <c:v>0.59585423401096294</c:v>
                </c:pt>
                <c:pt idx="103">
                  <c:v>0.60151629681644447</c:v>
                </c:pt>
                <c:pt idx="104">
                  <c:v>0.6071783596219259</c:v>
                </c:pt>
                <c:pt idx="105">
                  <c:v>0.61284042242740744</c:v>
                </c:pt>
                <c:pt idx="106">
                  <c:v>0.61850248523288887</c:v>
                </c:pt>
                <c:pt idx="107">
                  <c:v>0.6241645480383704</c:v>
                </c:pt>
                <c:pt idx="108">
                  <c:v>0.62982661084385183</c:v>
                </c:pt>
                <c:pt idx="109">
                  <c:v>0.63548867364933337</c:v>
                </c:pt>
                <c:pt idx="110">
                  <c:v>0.6411507364548148</c:v>
                </c:pt>
                <c:pt idx="111">
                  <c:v>0.64681279926029633</c:v>
                </c:pt>
                <c:pt idx="112">
                  <c:v>0.65247486206577776</c:v>
                </c:pt>
                <c:pt idx="113">
                  <c:v>0.6581369248712593</c:v>
                </c:pt>
                <c:pt idx="114">
                  <c:v>0.66379898767674073</c:v>
                </c:pt>
                <c:pt idx="115">
                  <c:v>0.66946105048222226</c:v>
                </c:pt>
                <c:pt idx="116">
                  <c:v>0.67512311328770369</c:v>
                </c:pt>
                <c:pt idx="117">
                  <c:v>0.68078517609318523</c:v>
                </c:pt>
                <c:pt idx="118">
                  <c:v>0.68644723889866666</c:v>
                </c:pt>
                <c:pt idx="119">
                  <c:v>0.69210930170414819</c:v>
                </c:pt>
                <c:pt idx="120">
                  <c:v>0.69777136450962962</c:v>
                </c:pt>
                <c:pt idx="121">
                  <c:v>0.70343342731511116</c:v>
                </c:pt>
                <c:pt idx="122">
                  <c:v>0.70909549012059259</c:v>
                </c:pt>
                <c:pt idx="123">
                  <c:v>0.71475755292607412</c:v>
                </c:pt>
                <c:pt idx="124">
                  <c:v>0.72041961573155555</c:v>
                </c:pt>
                <c:pt idx="125">
                  <c:v>0.72608167853703709</c:v>
                </c:pt>
                <c:pt idx="126">
                  <c:v>0.73174374134251852</c:v>
                </c:pt>
                <c:pt idx="127">
                  <c:v>0.73740580414800005</c:v>
                </c:pt>
                <c:pt idx="128">
                  <c:v>0.74306786695348148</c:v>
                </c:pt>
                <c:pt idx="129">
                  <c:v>0.74872992975896291</c:v>
                </c:pt>
                <c:pt idx="130">
                  <c:v>0.75439199256444445</c:v>
                </c:pt>
                <c:pt idx="131">
                  <c:v>0.76005405536992587</c:v>
                </c:pt>
                <c:pt idx="132">
                  <c:v>0.76571611817540741</c:v>
                </c:pt>
                <c:pt idx="133">
                  <c:v>0.77137818098088884</c:v>
                </c:pt>
                <c:pt idx="134">
                  <c:v>0.77704024378637038</c:v>
                </c:pt>
                <c:pt idx="135">
                  <c:v>0.7827023065918518</c:v>
                </c:pt>
                <c:pt idx="136">
                  <c:v>0.78836436939733334</c:v>
                </c:pt>
                <c:pt idx="137">
                  <c:v>0.79402643220281477</c:v>
                </c:pt>
                <c:pt idx="138">
                  <c:v>0.79968849500829631</c:v>
                </c:pt>
                <c:pt idx="139">
                  <c:v>0.80535055781377773</c:v>
                </c:pt>
                <c:pt idx="140">
                  <c:v>0.81101262061925927</c:v>
                </c:pt>
                <c:pt idx="141">
                  <c:v>0.8166746834247407</c:v>
                </c:pt>
                <c:pt idx="142">
                  <c:v>0.82233674623022224</c:v>
                </c:pt>
                <c:pt idx="143">
                  <c:v>0.82799880903570366</c:v>
                </c:pt>
                <c:pt idx="144">
                  <c:v>0.8336608718411852</c:v>
                </c:pt>
                <c:pt idx="145">
                  <c:v>0.83932293464666663</c:v>
                </c:pt>
                <c:pt idx="146">
                  <c:v>0.84498499745214817</c:v>
                </c:pt>
                <c:pt idx="147">
                  <c:v>0.85064706025762959</c:v>
                </c:pt>
                <c:pt idx="148">
                  <c:v>0.85630912306311113</c:v>
                </c:pt>
                <c:pt idx="149">
                  <c:v>0.86197118586859256</c:v>
                </c:pt>
                <c:pt idx="150">
                  <c:v>0.8676332486740741</c:v>
                </c:pt>
                <c:pt idx="151">
                  <c:v>0.87329531147955552</c:v>
                </c:pt>
                <c:pt idx="152">
                  <c:v>0.87895737428503706</c:v>
                </c:pt>
                <c:pt idx="153">
                  <c:v>0.88461943709051849</c:v>
                </c:pt>
                <c:pt idx="154">
                  <c:v>0.89028149989600003</c:v>
                </c:pt>
                <c:pt idx="155">
                  <c:v>0.89594356270148146</c:v>
                </c:pt>
                <c:pt idx="156">
                  <c:v>0.90160562550696299</c:v>
                </c:pt>
                <c:pt idx="157">
                  <c:v>0.90726768831244442</c:v>
                </c:pt>
                <c:pt idx="158">
                  <c:v>0.91292975111792596</c:v>
                </c:pt>
                <c:pt idx="159">
                  <c:v>0.91859181392340739</c:v>
                </c:pt>
                <c:pt idx="160">
                  <c:v>0.92425387672888892</c:v>
                </c:pt>
                <c:pt idx="161">
                  <c:v>0.92991593953437035</c:v>
                </c:pt>
                <c:pt idx="162">
                  <c:v>0.93557800233985189</c:v>
                </c:pt>
                <c:pt idx="163">
                  <c:v>0.94124006514533332</c:v>
                </c:pt>
                <c:pt idx="164">
                  <c:v>0.94690212795081485</c:v>
                </c:pt>
                <c:pt idx="165">
                  <c:v>0.95256419075629628</c:v>
                </c:pt>
                <c:pt idx="166">
                  <c:v>0.95822625356177782</c:v>
                </c:pt>
                <c:pt idx="167">
                  <c:v>0.96388831636725925</c:v>
                </c:pt>
                <c:pt idx="168">
                  <c:v>0.96955037917274078</c:v>
                </c:pt>
                <c:pt idx="169">
                  <c:v>0.97521244197822221</c:v>
                </c:pt>
                <c:pt idx="170">
                  <c:v>0.98087450478370375</c:v>
                </c:pt>
                <c:pt idx="171">
                  <c:v>0.98653656758918518</c:v>
                </c:pt>
                <c:pt idx="172">
                  <c:v>0.99219863039466671</c:v>
                </c:pt>
                <c:pt idx="173">
                  <c:v>0.99786069320014814</c:v>
                </c:pt>
                <c:pt idx="174">
                  <c:v>1.0035227560056297</c:v>
                </c:pt>
                <c:pt idx="175">
                  <c:v>1.0091848188111112</c:v>
                </c:pt>
                <c:pt idx="176">
                  <c:v>1.0148468816165928</c:v>
                </c:pt>
                <c:pt idx="177">
                  <c:v>1.0205089444220741</c:v>
                </c:pt>
                <c:pt idx="178">
                  <c:v>1.0261710072275556</c:v>
                </c:pt>
                <c:pt idx="179">
                  <c:v>1.0318330700330371</c:v>
                </c:pt>
                <c:pt idx="180">
                  <c:v>1.0374951328385185</c:v>
                </c:pt>
                <c:pt idx="181">
                  <c:v>1.043157195644</c:v>
                </c:pt>
                <c:pt idx="182">
                  <c:v>1.0488192584494815</c:v>
                </c:pt>
                <c:pt idx="183">
                  <c:v>1.0544813212549631</c:v>
                </c:pt>
                <c:pt idx="184">
                  <c:v>1.0601433840604444</c:v>
                </c:pt>
                <c:pt idx="185">
                  <c:v>1.0658054468659259</c:v>
                </c:pt>
                <c:pt idx="186">
                  <c:v>1.0714675096714075</c:v>
                </c:pt>
                <c:pt idx="187">
                  <c:v>1.077129572476889</c:v>
                </c:pt>
                <c:pt idx="188">
                  <c:v>1.0827916352823703</c:v>
                </c:pt>
                <c:pt idx="189">
                  <c:v>1.0884536980878519</c:v>
                </c:pt>
                <c:pt idx="190">
                  <c:v>1.0941157608933334</c:v>
                </c:pt>
                <c:pt idx="191">
                  <c:v>1.0997778236988149</c:v>
                </c:pt>
                <c:pt idx="192">
                  <c:v>1.1054398865042963</c:v>
                </c:pt>
                <c:pt idx="193">
                  <c:v>1.1111019493097778</c:v>
                </c:pt>
                <c:pt idx="194">
                  <c:v>1.1167640121152593</c:v>
                </c:pt>
                <c:pt idx="195">
                  <c:v>1.1224260749207406</c:v>
                </c:pt>
                <c:pt idx="196">
                  <c:v>1.1280881377262222</c:v>
                </c:pt>
                <c:pt idx="197">
                  <c:v>1.1337502005317037</c:v>
                </c:pt>
                <c:pt idx="198">
                  <c:v>1.1394122633371853</c:v>
                </c:pt>
                <c:pt idx="199">
                  <c:v>1.1450743261426666</c:v>
                </c:pt>
                <c:pt idx="200">
                  <c:v>1.1507363889481481</c:v>
                </c:pt>
                <c:pt idx="201">
                  <c:v>1.1563984517536297</c:v>
                </c:pt>
                <c:pt idx="202">
                  <c:v>1.1620605145591112</c:v>
                </c:pt>
                <c:pt idx="203">
                  <c:v>1.1677225773645925</c:v>
                </c:pt>
                <c:pt idx="204">
                  <c:v>1.173384640170074</c:v>
                </c:pt>
                <c:pt idx="205">
                  <c:v>1.1790467029755556</c:v>
                </c:pt>
                <c:pt idx="206">
                  <c:v>1.1847087657810371</c:v>
                </c:pt>
                <c:pt idx="207">
                  <c:v>1.1903708285865184</c:v>
                </c:pt>
                <c:pt idx="208">
                  <c:v>1.196032891392</c:v>
                </c:pt>
                <c:pt idx="209">
                  <c:v>1.2016949541974815</c:v>
                </c:pt>
                <c:pt idx="210">
                  <c:v>1.2073570170029631</c:v>
                </c:pt>
                <c:pt idx="211">
                  <c:v>1.2130190798084444</c:v>
                </c:pt>
                <c:pt idx="212">
                  <c:v>1.2186811426139259</c:v>
                </c:pt>
                <c:pt idx="213">
                  <c:v>1.2243432054194074</c:v>
                </c:pt>
                <c:pt idx="214">
                  <c:v>1.230005268224889</c:v>
                </c:pt>
                <c:pt idx="215">
                  <c:v>1.2356673310303703</c:v>
                </c:pt>
                <c:pt idx="216">
                  <c:v>1.2413293938358518</c:v>
                </c:pt>
                <c:pt idx="217">
                  <c:v>1.2469914566413334</c:v>
                </c:pt>
                <c:pt idx="218">
                  <c:v>1.2526535194468149</c:v>
                </c:pt>
                <c:pt idx="219">
                  <c:v>1.2583155822522962</c:v>
                </c:pt>
                <c:pt idx="220">
                  <c:v>1.2639776450577778</c:v>
                </c:pt>
                <c:pt idx="221">
                  <c:v>1.2696397078632593</c:v>
                </c:pt>
                <c:pt idx="222">
                  <c:v>1.2753017706687408</c:v>
                </c:pt>
                <c:pt idx="223">
                  <c:v>1.2809638334742222</c:v>
                </c:pt>
                <c:pt idx="224">
                  <c:v>1.2866258962797037</c:v>
                </c:pt>
                <c:pt idx="225">
                  <c:v>1.2922879590851852</c:v>
                </c:pt>
                <c:pt idx="226">
                  <c:v>1.2979500218906668</c:v>
                </c:pt>
                <c:pt idx="227">
                  <c:v>1.3036120846961481</c:v>
                </c:pt>
                <c:pt idx="228">
                  <c:v>1.3092741475016296</c:v>
                </c:pt>
                <c:pt idx="229">
                  <c:v>1.3149362103071112</c:v>
                </c:pt>
                <c:pt idx="230">
                  <c:v>1.3205982731125927</c:v>
                </c:pt>
                <c:pt idx="231">
                  <c:v>1.326260335918074</c:v>
                </c:pt>
                <c:pt idx="232">
                  <c:v>1.3319223987235556</c:v>
                </c:pt>
                <c:pt idx="233">
                  <c:v>1.3375844615290371</c:v>
                </c:pt>
                <c:pt idx="234">
                  <c:v>1.3432465243345186</c:v>
                </c:pt>
                <c:pt idx="235">
                  <c:v>1.3489085871399999</c:v>
                </c:pt>
                <c:pt idx="236">
                  <c:v>1.3545706499454815</c:v>
                </c:pt>
                <c:pt idx="237">
                  <c:v>1.360232712750963</c:v>
                </c:pt>
                <c:pt idx="238">
                  <c:v>1.3658947755564446</c:v>
                </c:pt>
                <c:pt idx="239">
                  <c:v>1.3715568383619259</c:v>
                </c:pt>
                <c:pt idx="240">
                  <c:v>1.3772189011674074</c:v>
                </c:pt>
                <c:pt idx="241">
                  <c:v>1.382880963972889</c:v>
                </c:pt>
                <c:pt idx="242">
                  <c:v>1.3885430267783705</c:v>
                </c:pt>
                <c:pt idx="243">
                  <c:v>1.3942050895838518</c:v>
                </c:pt>
                <c:pt idx="244">
                  <c:v>1.3998671523893333</c:v>
                </c:pt>
                <c:pt idx="245">
                  <c:v>1.4055292151948149</c:v>
                </c:pt>
                <c:pt idx="246">
                  <c:v>1.4111912780002964</c:v>
                </c:pt>
                <c:pt idx="247">
                  <c:v>1.4168533408057777</c:v>
                </c:pt>
                <c:pt idx="248">
                  <c:v>1.4225154036112593</c:v>
                </c:pt>
                <c:pt idx="249">
                  <c:v>1.4281774664167408</c:v>
                </c:pt>
                <c:pt idx="250">
                  <c:v>1.4338395292222224</c:v>
                </c:pt>
                <c:pt idx="251">
                  <c:v>1.4395015920277037</c:v>
                </c:pt>
                <c:pt idx="252">
                  <c:v>1.4451636548331852</c:v>
                </c:pt>
                <c:pt idx="253">
                  <c:v>1.4508257176386667</c:v>
                </c:pt>
                <c:pt idx="254">
                  <c:v>1.4564877804441483</c:v>
                </c:pt>
                <c:pt idx="255">
                  <c:v>1.4621498432496296</c:v>
                </c:pt>
                <c:pt idx="256">
                  <c:v>1.4678119060551111</c:v>
                </c:pt>
                <c:pt idx="257">
                  <c:v>1.4734739688605927</c:v>
                </c:pt>
                <c:pt idx="258">
                  <c:v>1.479136031666074</c:v>
                </c:pt>
                <c:pt idx="259">
                  <c:v>1.4847980944715555</c:v>
                </c:pt>
                <c:pt idx="260">
                  <c:v>1.4904601572770371</c:v>
                </c:pt>
                <c:pt idx="261">
                  <c:v>1.4961222200825186</c:v>
                </c:pt>
                <c:pt idx="262">
                  <c:v>1.5017842828879999</c:v>
                </c:pt>
                <c:pt idx="263">
                  <c:v>1.5074463456934815</c:v>
                </c:pt>
                <c:pt idx="264">
                  <c:v>1.513108408498963</c:v>
                </c:pt>
                <c:pt idx="265">
                  <c:v>1.5187704713044445</c:v>
                </c:pt>
                <c:pt idx="266">
                  <c:v>1.5244325341099259</c:v>
                </c:pt>
                <c:pt idx="267">
                  <c:v>1.5300945969154074</c:v>
                </c:pt>
                <c:pt idx="268">
                  <c:v>1.5357566597208889</c:v>
                </c:pt>
                <c:pt idx="269">
                  <c:v>1.5414187225263705</c:v>
                </c:pt>
                <c:pt idx="270">
                  <c:v>1.5470807853318518</c:v>
                </c:pt>
                <c:pt idx="271">
                  <c:v>1.5527428481373333</c:v>
                </c:pt>
                <c:pt idx="272">
                  <c:v>1.5584049109428149</c:v>
                </c:pt>
                <c:pt idx="273">
                  <c:v>1.5640669737482964</c:v>
                </c:pt>
                <c:pt idx="274">
                  <c:v>1.5697290365537777</c:v>
                </c:pt>
                <c:pt idx="275">
                  <c:v>1.5753910993592593</c:v>
                </c:pt>
                <c:pt idx="276">
                  <c:v>1.5810531621647408</c:v>
                </c:pt>
                <c:pt idx="277">
                  <c:v>1.5867152249702223</c:v>
                </c:pt>
                <c:pt idx="278">
                  <c:v>1.5923772877757036</c:v>
                </c:pt>
                <c:pt idx="279">
                  <c:v>1.5980393505811852</c:v>
                </c:pt>
                <c:pt idx="280">
                  <c:v>1.6037014133866667</c:v>
                </c:pt>
                <c:pt idx="281">
                  <c:v>1.6093634761921483</c:v>
                </c:pt>
                <c:pt idx="282">
                  <c:v>1.6150255389976296</c:v>
                </c:pt>
                <c:pt idx="283">
                  <c:v>1.6206876018031111</c:v>
                </c:pt>
                <c:pt idx="284">
                  <c:v>1.6263496646085926</c:v>
                </c:pt>
                <c:pt idx="285">
                  <c:v>1.6320117274140742</c:v>
                </c:pt>
                <c:pt idx="286">
                  <c:v>1.6376737902195555</c:v>
                </c:pt>
                <c:pt idx="287">
                  <c:v>1.643335853025037</c:v>
                </c:pt>
                <c:pt idx="288">
                  <c:v>1.6489979158305186</c:v>
                </c:pt>
                <c:pt idx="289">
                  <c:v>1.6546599786360001</c:v>
                </c:pt>
                <c:pt idx="290">
                  <c:v>1.6603220414414814</c:v>
                </c:pt>
                <c:pt idx="291">
                  <c:v>1.665984104246963</c:v>
                </c:pt>
                <c:pt idx="292">
                  <c:v>1.6716461670524445</c:v>
                </c:pt>
                <c:pt idx="293">
                  <c:v>1.677308229857926</c:v>
                </c:pt>
                <c:pt idx="294">
                  <c:v>1.6829702926634074</c:v>
                </c:pt>
                <c:pt idx="295">
                  <c:v>1.6886323554688889</c:v>
                </c:pt>
                <c:pt idx="296">
                  <c:v>1.6942944182743704</c:v>
                </c:pt>
                <c:pt idx="297">
                  <c:v>1.699956481079852</c:v>
                </c:pt>
                <c:pt idx="298">
                  <c:v>1.7056185438853333</c:v>
                </c:pt>
                <c:pt idx="299">
                  <c:v>1.7112806066908148</c:v>
                </c:pt>
                <c:pt idx="300">
                  <c:v>1.7169426694962964</c:v>
                </c:pt>
                <c:pt idx="301">
                  <c:v>1.7226047323017779</c:v>
                </c:pt>
                <c:pt idx="302">
                  <c:v>1.7282667951072592</c:v>
                </c:pt>
                <c:pt idx="303">
                  <c:v>1.7339288579127408</c:v>
                </c:pt>
                <c:pt idx="304">
                  <c:v>1.7395909207182223</c:v>
                </c:pt>
                <c:pt idx="305">
                  <c:v>1.7452529835237038</c:v>
                </c:pt>
                <c:pt idx="306">
                  <c:v>1.7509150463291852</c:v>
                </c:pt>
                <c:pt idx="307">
                  <c:v>1.7565771091346667</c:v>
                </c:pt>
                <c:pt idx="308">
                  <c:v>1.7622391719401482</c:v>
                </c:pt>
                <c:pt idx="309">
                  <c:v>1.7679012347456298</c:v>
                </c:pt>
                <c:pt idx="310">
                  <c:v>1.7735632975511111</c:v>
                </c:pt>
                <c:pt idx="311">
                  <c:v>1.7792253603565926</c:v>
                </c:pt>
                <c:pt idx="312">
                  <c:v>1.7848874231620742</c:v>
                </c:pt>
                <c:pt idx="313">
                  <c:v>1.7905494859675557</c:v>
                </c:pt>
                <c:pt idx="314">
                  <c:v>1.796211548773037</c:v>
                </c:pt>
                <c:pt idx="315">
                  <c:v>1.8018736115785186</c:v>
                </c:pt>
                <c:pt idx="316">
                  <c:v>1.8075356743840001</c:v>
                </c:pt>
                <c:pt idx="317">
                  <c:v>1.8131977371894816</c:v>
                </c:pt>
                <c:pt idx="318">
                  <c:v>1.8188597999949629</c:v>
                </c:pt>
                <c:pt idx="319">
                  <c:v>1.8245218628004445</c:v>
                </c:pt>
                <c:pt idx="320">
                  <c:v>1.830183925605926</c:v>
                </c:pt>
                <c:pt idx="321">
                  <c:v>1.8358459884114073</c:v>
                </c:pt>
                <c:pt idx="322">
                  <c:v>1.8415080512168889</c:v>
                </c:pt>
                <c:pt idx="323">
                  <c:v>1.8471701140223704</c:v>
                </c:pt>
                <c:pt idx="324">
                  <c:v>1.852832176827852</c:v>
                </c:pt>
                <c:pt idx="325">
                  <c:v>1.8584942396333333</c:v>
                </c:pt>
                <c:pt idx="326">
                  <c:v>1.8641563024388148</c:v>
                </c:pt>
                <c:pt idx="327">
                  <c:v>1.8698183652442963</c:v>
                </c:pt>
                <c:pt idx="328">
                  <c:v>1.8754804280497779</c:v>
                </c:pt>
                <c:pt idx="329">
                  <c:v>1.8811424908552592</c:v>
                </c:pt>
                <c:pt idx="330">
                  <c:v>1.8868045536607407</c:v>
                </c:pt>
                <c:pt idx="331">
                  <c:v>1.8924666164662223</c:v>
                </c:pt>
                <c:pt idx="332">
                  <c:v>1.8981286792717038</c:v>
                </c:pt>
                <c:pt idx="333">
                  <c:v>1.9037907420771851</c:v>
                </c:pt>
                <c:pt idx="334">
                  <c:v>1.9094528048826667</c:v>
                </c:pt>
                <c:pt idx="335">
                  <c:v>1.9151148676881482</c:v>
                </c:pt>
                <c:pt idx="336">
                  <c:v>1.9207769304936297</c:v>
                </c:pt>
                <c:pt idx="337">
                  <c:v>1.9264389932991111</c:v>
                </c:pt>
                <c:pt idx="338">
                  <c:v>1.9321010561045926</c:v>
                </c:pt>
                <c:pt idx="339">
                  <c:v>1.9377631189100741</c:v>
                </c:pt>
                <c:pt idx="340">
                  <c:v>1.9434251817155557</c:v>
                </c:pt>
                <c:pt idx="341">
                  <c:v>1.949087244521037</c:v>
                </c:pt>
                <c:pt idx="342">
                  <c:v>1.9547493073265185</c:v>
                </c:pt>
                <c:pt idx="343">
                  <c:v>1.9604113701320001</c:v>
                </c:pt>
                <c:pt idx="344">
                  <c:v>1.9660734329374816</c:v>
                </c:pt>
                <c:pt idx="345">
                  <c:v>1.9717354957429629</c:v>
                </c:pt>
                <c:pt idx="346">
                  <c:v>1.9773975585484445</c:v>
                </c:pt>
                <c:pt idx="347">
                  <c:v>1.983059621353926</c:v>
                </c:pt>
                <c:pt idx="348">
                  <c:v>1.9887216841594075</c:v>
                </c:pt>
                <c:pt idx="349">
                  <c:v>1.9943837469648888</c:v>
                </c:pt>
                <c:pt idx="350">
                  <c:v>2.0000458097703704</c:v>
                </c:pt>
                <c:pt idx="351">
                  <c:v>2.0057078725758521</c:v>
                </c:pt>
                <c:pt idx="352">
                  <c:v>2.0113699353813335</c:v>
                </c:pt>
                <c:pt idx="353">
                  <c:v>2.0170319981868148</c:v>
                </c:pt>
                <c:pt idx="354">
                  <c:v>2.0226940609922965</c:v>
                </c:pt>
                <c:pt idx="355">
                  <c:v>2.0283561237977779</c:v>
                </c:pt>
                <c:pt idx="356">
                  <c:v>2.0340181866032596</c:v>
                </c:pt>
                <c:pt idx="357">
                  <c:v>2.0396802494087409</c:v>
                </c:pt>
                <c:pt idx="358">
                  <c:v>2.0453423122142227</c:v>
                </c:pt>
                <c:pt idx="359">
                  <c:v>2.051004375019704</c:v>
                </c:pt>
                <c:pt idx="360">
                  <c:v>2.0566664378251853</c:v>
                </c:pt>
                <c:pt idx="361">
                  <c:v>2.0623285006306671</c:v>
                </c:pt>
                <c:pt idx="362">
                  <c:v>2.0679905634361484</c:v>
                </c:pt>
                <c:pt idx="363">
                  <c:v>2.0736526262416297</c:v>
                </c:pt>
                <c:pt idx="364">
                  <c:v>2.0793146890471115</c:v>
                </c:pt>
                <c:pt idx="365">
                  <c:v>2.0849767518525928</c:v>
                </c:pt>
                <c:pt idx="366">
                  <c:v>2.0906388146580746</c:v>
                </c:pt>
                <c:pt idx="367">
                  <c:v>2.0963008774635559</c:v>
                </c:pt>
                <c:pt idx="368">
                  <c:v>2.1019629402690372</c:v>
                </c:pt>
                <c:pt idx="369">
                  <c:v>2.1076250030745189</c:v>
                </c:pt>
                <c:pt idx="370">
                  <c:v>2.1132870658800003</c:v>
                </c:pt>
                <c:pt idx="371">
                  <c:v>2.1189491286854816</c:v>
                </c:pt>
                <c:pt idx="372">
                  <c:v>2.1246111914909633</c:v>
                </c:pt>
                <c:pt idx="373">
                  <c:v>2.1302732542964447</c:v>
                </c:pt>
                <c:pt idx="374">
                  <c:v>2.1359353171019264</c:v>
                </c:pt>
                <c:pt idx="375">
                  <c:v>2.1415973799074077</c:v>
                </c:pt>
                <c:pt idx="376">
                  <c:v>2.147259442712889</c:v>
                </c:pt>
                <c:pt idx="377">
                  <c:v>2.1529215055183708</c:v>
                </c:pt>
                <c:pt idx="378">
                  <c:v>2.1585835683238521</c:v>
                </c:pt>
                <c:pt idx="379">
                  <c:v>2.1642456311293334</c:v>
                </c:pt>
                <c:pt idx="380">
                  <c:v>2.1699076939348152</c:v>
                </c:pt>
                <c:pt idx="381">
                  <c:v>2.1755697567402965</c:v>
                </c:pt>
                <c:pt idx="382">
                  <c:v>2.1812318195457783</c:v>
                </c:pt>
                <c:pt idx="383">
                  <c:v>2.1868938823512596</c:v>
                </c:pt>
                <c:pt idx="384">
                  <c:v>2.1925559451567409</c:v>
                </c:pt>
                <c:pt idx="385">
                  <c:v>2.1982180079622227</c:v>
                </c:pt>
                <c:pt idx="386">
                  <c:v>2.203880070767704</c:v>
                </c:pt>
                <c:pt idx="387">
                  <c:v>2.2095421335731853</c:v>
                </c:pt>
                <c:pt idx="388">
                  <c:v>2.2152041963786671</c:v>
                </c:pt>
                <c:pt idx="389">
                  <c:v>2.2208662591841484</c:v>
                </c:pt>
                <c:pt idx="390">
                  <c:v>2.2265283219896297</c:v>
                </c:pt>
                <c:pt idx="391">
                  <c:v>2.2321903847951114</c:v>
                </c:pt>
                <c:pt idx="392">
                  <c:v>2.2378524476005928</c:v>
                </c:pt>
                <c:pt idx="393">
                  <c:v>2.2435145104060745</c:v>
                </c:pt>
                <c:pt idx="394">
                  <c:v>2.2491765732115558</c:v>
                </c:pt>
                <c:pt idx="395">
                  <c:v>2.2548386360170372</c:v>
                </c:pt>
                <c:pt idx="396">
                  <c:v>2.2605006988225189</c:v>
                </c:pt>
                <c:pt idx="397">
                  <c:v>2.2661627616280002</c:v>
                </c:pt>
                <c:pt idx="398">
                  <c:v>2.2718248244334815</c:v>
                </c:pt>
                <c:pt idx="399">
                  <c:v>2.2774868872389633</c:v>
                </c:pt>
                <c:pt idx="400">
                  <c:v>2.2831489500444446</c:v>
                </c:pt>
                <c:pt idx="401">
                  <c:v>2.2888110128499264</c:v>
                </c:pt>
                <c:pt idx="402">
                  <c:v>2.2944730756554077</c:v>
                </c:pt>
                <c:pt idx="403">
                  <c:v>2.300135138460889</c:v>
                </c:pt>
                <c:pt idx="404">
                  <c:v>2.3057972012663708</c:v>
                </c:pt>
                <c:pt idx="405">
                  <c:v>2.3114592640718521</c:v>
                </c:pt>
                <c:pt idx="406">
                  <c:v>2.3171213268773334</c:v>
                </c:pt>
                <c:pt idx="407">
                  <c:v>2.3227833896828152</c:v>
                </c:pt>
                <c:pt idx="408">
                  <c:v>2.3284454524882965</c:v>
                </c:pt>
                <c:pt idx="409">
                  <c:v>2.3341075152937782</c:v>
                </c:pt>
                <c:pt idx="410">
                  <c:v>2.3397695780992596</c:v>
                </c:pt>
                <c:pt idx="411">
                  <c:v>2.3454316409047409</c:v>
                </c:pt>
                <c:pt idx="412">
                  <c:v>2.3510937037102226</c:v>
                </c:pt>
                <c:pt idx="413">
                  <c:v>2.356755766515704</c:v>
                </c:pt>
                <c:pt idx="414">
                  <c:v>2.3624178293211853</c:v>
                </c:pt>
                <c:pt idx="415">
                  <c:v>2.368079892126667</c:v>
                </c:pt>
                <c:pt idx="416">
                  <c:v>2.3737419549321483</c:v>
                </c:pt>
                <c:pt idx="417">
                  <c:v>2.3794040177376301</c:v>
                </c:pt>
                <c:pt idx="418">
                  <c:v>2.3850660805431114</c:v>
                </c:pt>
                <c:pt idx="419">
                  <c:v>2.3907281433485927</c:v>
                </c:pt>
                <c:pt idx="420">
                  <c:v>2.3963902061540745</c:v>
                </c:pt>
                <c:pt idx="421">
                  <c:v>2.4020522689595558</c:v>
                </c:pt>
                <c:pt idx="422">
                  <c:v>2.4077143317650371</c:v>
                </c:pt>
                <c:pt idx="423">
                  <c:v>2.4133763945705189</c:v>
                </c:pt>
                <c:pt idx="424">
                  <c:v>2.4190384573760002</c:v>
                </c:pt>
                <c:pt idx="425">
                  <c:v>2.424700520181482</c:v>
                </c:pt>
                <c:pt idx="426">
                  <c:v>2.4303625829869633</c:v>
                </c:pt>
                <c:pt idx="427">
                  <c:v>2.4360246457924446</c:v>
                </c:pt>
                <c:pt idx="428">
                  <c:v>2.4416867085979264</c:v>
                </c:pt>
                <c:pt idx="429">
                  <c:v>2.4473487714034077</c:v>
                </c:pt>
                <c:pt idx="430">
                  <c:v>2.453010834208889</c:v>
                </c:pt>
                <c:pt idx="431">
                  <c:v>2.4586728970143708</c:v>
                </c:pt>
                <c:pt idx="432">
                  <c:v>2.4643349598198521</c:v>
                </c:pt>
                <c:pt idx="433">
                  <c:v>2.4699970226253338</c:v>
                </c:pt>
                <c:pt idx="434">
                  <c:v>2.4756590854308151</c:v>
                </c:pt>
                <c:pt idx="435">
                  <c:v>2.4813211482362965</c:v>
                </c:pt>
                <c:pt idx="436">
                  <c:v>2.4869832110417782</c:v>
                </c:pt>
                <c:pt idx="437">
                  <c:v>2.4926452738472595</c:v>
                </c:pt>
                <c:pt idx="438">
                  <c:v>2.4983073366527409</c:v>
                </c:pt>
                <c:pt idx="439">
                  <c:v>2.5039693994582226</c:v>
                </c:pt>
                <c:pt idx="440">
                  <c:v>2.5096314622637039</c:v>
                </c:pt>
                <c:pt idx="441">
                  <c:v>2.5152935250691857</c:v>
                </c:pt>
                <c:pt idx="442">
                  <c:v>2.520955587874667</c:v>
                </c:pt>
                <c:pt idx="443">
                  <c:v>2.5266176506801483</c:v>
                </c:pt>
                <c:pt idx="444">
                  <c:v>2.5322797134856301</c:v>
                </c:pt>
                <c:pt idx="445">
                  <c:v>2.5379417762911114</c:v>
                </c:pt>
                <c:pt idx="446">
                  <c:v>2.5436038390965927</c:v>
                </c:pt>
                <c:pt idx="447">
                  <c:v>2.5492659019020745</c:v>
                </c:pt>
                <c:pt idx="448">
                  <c:v>2.5549279647075558</c:v>
                </c:pt>
                <c:pt idx="449">
                  <c:v>2.5605900275130371</c:v>
                </c:pt>
                <c:pt idx="450">
                  <c:v>2.5662520903185189</c:v>
                </c:pt>
                <c:pt idx="451">
                  <c:v>2.5719141531240002</c:v>
                </c:pt>
                <c:pt idx="452">
                  <c:v>2.5775762159294819</c:v>
                </c:pt>
                <c:pt idx="453">
                  <c:v>2.5832382787349633</c:v>
                </c:pt>
                <c:pt idx="454">
                  <c:v>2.5889003415404446</c:v>
                </c:pt>
                <c:pt idx="455">
                  <c:v>2.5945624043459263</c:v>
                </c:pt>
                <c:pt idx="456">
                  <c:v>2.6002244671514076</c:v>
                </c:pt>
                <c:pt idx="457">
                  <c:v>2.605886529956889</c:v>
                </c:pt>
                <c:pt idx="458">
                  <c:v>2.6115485927623707</c:v>
                </c:pt>
                <c:pt idx="459">
                  <c:v>2.617210655567852</c:v>
                </c:pt>
                <c:pt idx="460">
                  <c:v>2.6228727183733338</c:v>
                </c:pt>
                <c:pt idx="461">
                  <c:v>2.6285347811788151</c:v>
                </c:pt>
                <c:pt idx="462">
                  <c:v>2.6341968439842964</c:v>
                </c:pt>
                <c:pt idx="463">
                  <c:v>2.6398589067897782</c:v>
                </c:pt>
                <c:pt idx="464">
                  <c:v>2.6455209695952595</c:v>
                </c:pt>
                <c:pt idx="465">
                  <c:v>2.6511830324007408</c:v>
                </c:pt>
                <c:pt idx="466">
                  <c:v>2.6568450952062226</c:v>
                </c:pt>
                <c:pt idx="467">
                  <c:v>2.6625071580117039</c:v>
                </c:pt>
                <c:pt idx="468">
                  <c:v>2.6681692208171857</c:v>
                </c:pt>
                <c:pt idx="469">
                  <c:v>2.673831283622667</c:v>
                </c:pt>
                <c:pt idx="470">
                  <c:v>2.6794933464281483</c:v>
                </c:pt>
                <c:pt idx="471">
                  <c:v>2.6851554092336301</c:v>
                </c:pt>
                <c:pt idx="472">
                  <c:v>2.6908174720391114</c:v>
                </c:pt>
                <c:pt idx="473">
                  <c:v>2.6964795348445927</c:v>
                </c:pt>
                <c:pt idx="474">
                  <c:v>2.7021415976500744</c:v>
                </c:pt>
                <c:pt idx="475">
                  <c:v>2.7078036604555558</c:v>
                </c:pt>
                <c:pt idx="476">
                  <c:v>2.7134657232610375</c:v>
                </c:pt>
                <c:pt idx="477">
                  <c:v>2.7191277860665188</c:v>
                </c:pt>
                <c:pt idx="478">
                  <c:v>2.7247898488720002</c:v>
                </c:pt>
                <c:pt idx="479">
                  <c:v>2.7304519116774819</c:v>
                </c:pt>
                <c:pt idx="480">
                  <c:v>2.7361139744829632</c:v>
                </c:pt>
                <c:pt idx="481">
                  <c:v>2.7417760372884445</c:v>
                </c:pt>
                <c:pt idx="482">
                  <c:v>2.7474381000939263</c:v>
                </c:pt>
                <c:pt idx="483">
                  <c:v>2.7531001628994076</c:v>
                </c:pt>
                <c:pt idx="484">
                  <c:v>2.7587622257048894</c:v>
                </c:pt>
                <c:pt idx="485">
                  <c:v>2.7644242885103707</c:v>
                </c:pt>
                <c:pt idx="486">
                  <c:v>2.770086351315852</c:v>
                </c:pt>
                <c:pt idx="487">
                  <c:v>2.7757484141213338</c:v>
                </c:pt>
                <c:pt idx="488">
                  <c:v>2.7814104769268151</c:v>
                </c:pt>
                <c:pt idx="489">
                  <c:v>2.7870725397322964</c:v>
                </c:pt>
                <c:pt idx="490">
                  <c:v>2.7927346025377782</c:v>
                </c:pt>
                <c:pt idx="491">
                  <c:v>2.7983966653432595</c:v>
                </c:pt>
                <c:pt idx="492">
                  <c:v>2.8040587281487412</c:v>
                </c:pt>
                <c:pt idx="493">
                  <c:v>2.8097207909542226</c:v>
                </c:pt>
                <c:pt idx="494">
                  <c:v>2.8153828537597039</c:v>
                </c:pt>
                <c:pt idx="495">
                  <c:v>2.8210449165651856</c:v>
                </c:pt>
                <c:pt idx="496">
                  <c:v>2.826706979370667</c:v>
                </c:pt>
                <c:pt idx="497">
                  <c:v>2.8323690421761483</c:v>
                </c:pt>
                <c:pt idx="498">
                  <c:v>2.83803110498163</c:v>
                </c:pt>
                <c:pt idx="499">
                  <c:v>2.8436931677871113</c:v>
                </c:pt>
                <c:pt idx="500">
                  <c:v>2.8493552305925931</c:v>
                </c:pt>
                <c:pt idx="501">
                  <c:v>2.8550172933980744</c:v>
                </c:pt>
                <c:pt idx="502">
                  <c:v>2.8606793562035557</c:v>
                </c:pt>
                <c:pt idx="503">
                  <c:v>2.8663414190090375</c:v>
                </c:pt>
                <c:pt idx="504">
                  <c:v>2.8720034818145188</c:v>
                </c:pt>
                <c:pt idx="505">
                  <c:v>2.8776655446200001</c:v>
                </c:pt>
                <c:pt idx="506">
                  <c:v>2.8833276074254819</c:v>
                </c:pt>
                <c:pt idx="507">
                  <c:v>2.8889896702309632</c:v>
                </c:pt>
                <c:pt idx="508">
                  <c:v>2.894651733036445</c:v>
                </c:pt>
                <c:pt idx="509">
                  <c:v>2.9003137958419263</c:v>
                </c:pt>
                <c:pt idx="510">
                  <c:v>2.9059758586474076</c:v>
                </c:pt>
                <c:pt idx="511">
                  <c:v>2.9116379214528894</c:v>
                </c:pt>
                <c:pt idx="512">
                  <c:v>2.9172999842583707</c:v>
                </c:pt>
                <c:pt idx="513">
                  <c:v>2.922962047063852</c:v>
                </c:pt>
                <c:pt idx="514">
                  <c:v>2.9286241098693337</c:v>
                </c:pt>
                <c:pt idx="515">
                  <c:v>2.9342861726748151</c:v>
                </c:pt>
                <c:pt idx="516">
                  <c:v>2.9399482354802964</c:v>
                </c:pt>
                <c:pt idx="517">
                  <c:v>2.9456102982857781</c:v>
                </c:pt>
                <c:pt idx="518">
                  <c:v>2.9512723610912595</c:v>
                </c:pt>
                <c:pt idx="519">
                  <c:v>2.9569344238967412</c:v>
                </c:pt>
                <c:pt idx="520">
                  <c:v>2.9625964867022225</c:v>
                </c:pt>
                <c:pt idx="521">
                  <c:v>2.9682585495077038</c:v>
                </c:pt>
                <c:pt idx="522">
                  <c:v>2.9739206123131856</c:v>
                </c:pt>
                <c:pt idx="523">
                  <c:v>2.9795826751186669</c:v>
                </c:pt>
                <c:pt idx="524">
                  <c:v>2.9852447379241482</c:v>
                </c:pt>
                <c:pt idx="525">
                  <c:v>2.99090680072963</c:v>
                </c:pt>
                <c:pt idx="526">
                  <c:v>2.9965688635351113</c:v>
                </c:pt>
                <c:pt idx="527">
                  <c:v>3.0022309263405931</c:v>
                </c:pt>
                <c:pt idx="528">
                  <c:v>3.0078929891460744</c:v>
                </c:pt>
                <c:pt idx="529">
                  <c:v>3.0135550519515557</c:v>
                </c:pt>
                <c:pt idx="530">
                  <c:v>3.0192171147570375</c:v>
                </c:pt>
                <c:pt idx="531">
                  <c:v>3.0248791775625188</c:v>
                </c:pt>
                <c:pt idx="532">
                  <c:v>3.0305412403680001</c:v>
                </c:pt>
                <c:pt idx="533">
                  <c:v>3.0362033031734819</c:v>
                </c:pt>
                <c:pt idx="534">
                  <c:v>3.0418653659789632</c:v>
                </c:pt>
                <c:pt idx="535">
                  <c:v>3.0475274287844449</c:v>
                </c:pt>
                <c:pt idx="536">
                  <c:v>3.0531894915899263</c:v>
                </c:pt>
                <c:pt idx="537">
                  <c:v>3.0588515543954076</c:v>
                </c:pt>
                <c:pt idx="538">
                  <c:v>3.0645136172008893</c:v>
                </c:pt>
                <c:pt idx="539">
                  <c:v>3.0701756800063706</c:v>
                </c:pt>
                <c:pt idx="540">
                  <c:v>3.075837742811852</c:v>
                </c:pt>
                <c:pt idx="541">
                  <c:v>3.0814998056173337</c:v>
                </c:pt>
                <c:pt idx="542">
                  <c:v>3.087161868422815</c:v>
                </c:pt>
                <c:pt idx="543">
                  <c:v>3.0928239312282968</c:v>
                </c:pt>
                <c:pt idx="544">
                  <c:v>3.0984859940337781</c:v>
                </c:pt>
                <c:pt idx="545">
                  <c:v>3.1041480568392594</c:v>
                </c:pt>
                <c:pt idx="546">
                  <c:v>3.1098101196447412</c:v>
                </c:pt>
                <c:pt idx="547">
                  <c:v>3.1154721824502225</c:v>
                </c:pt>
                <c:pt idx="548">
                  <c:v>3.1211342452557038</c:v>
                </c:pt>
                <c:pt idx="549">
                  <c:v>3.1267963080611856</c:v>
                </c:pt>
                <c:pt idx="550">
                  <c:v>3.1324583708666669</c:v>
                </c:pt>
                <c:pt idx="551">
                  <c:v>3.1381204336721487</c:v>
                </c:pt>
                <c:pt idx="552">
                  <c:v>3.14378249647763</c:v>
                </c:pt>
                <c:pt idx="553">
                  <c:v>3.1494445592831113</c:v>
                </c:pt>
                <c:pt idx="554">
                  <c:v>3.155106622088593</c:v>
                </c:pt>
                <c:pt idx="555">
                  <c:v>3.1607686848940744</c:v>
                </c:pt>
                <c:pt idx="556">
                  <c:v>3.1664307476995557</c:v>
                </c:pt>
                <c:pt idx="557">
                  <c:v>3.1720928105050374</c:v>
                </c:pt>
                <c:pt idx="558">
                  <c:v>3.1777548733105188</c:v>
                </c:pt>
                <c:pt idx="559">
                  <c:v>3.1834169361160005</c:v>
                </c:pt>
                <c:pt idx="560">
                  <c:v>3.1890789989214818</c:v>
                </c:pt>
                <c:pt idx="561">
                  <c:v>3.1947410617269631</c:v>
                </c:pt>
                <c:pt idx="562">
                  <c:v>3.2004031245324449</c:v>
                </c:pt>
                <c:pt idx="563">
                  <c:v>3.2060651873379262</c:v>
                </c:pt>
                <c:pt idx="564">
                  <c:v>3.2117272501434075</c:v>
                </c:pt>
                <c:pt idx="565">
                  <c:v>3.2173893129488893</c:v>
                </c:pt>
                <c:pt idx="566">
                  <c:v>3.2230513757543706</c:v>
                </c:pt>
                <c:pt idx="567">
                  <c:v>3.2287134385598524</c:v>
                </c:pt>
                <c:pt idx="568">
                  <c:v>3.2343755013653337</c:v>
                </c:pt>
                <c:pt idx="569">
                  <c:v>3.240037564170815</c:v>
                </c:pt>
                <c:pt idx="570">
                  <c:v>3.2456996269762968</c:v>
                </c:pt>
                <c:pt idx="571">
                  <c:v>3.2513616897817781</c:v>
                </c:pt>
                <c:pt idx="572">
                  <c:v>3.2570237525872594</c:v>
                </c:pt>
                <c:pt idx="573">
                  <c:v>3.2626858153927412</c:v>
                </c:pt>
                <c:pt idx="574">
                  <c:v>3.2683478781982225</c:v>
                </c:pt>
                <c:pt idx="575">
                  <c:v>3.2740099410037042</c:v>
                </c:pt>
                <c:pt idx="576">
                  <c:v>3.2796720038091856</c:v>
                </c:pt>
                <c:pt idx="577">
                  <c:v>3.2853340666146669</c:v>
                </c:pt>
                <c:pt idx="578">
                  <c:v>3.2909961294201486</c:v>
                </c:pt>
                <c:pt idx="579">
                  <c:v>3.2966581922256299</c:v>
                </c:pt>
                <c:pt idx="580">
                  <c:v>3.3023202550311113</c:v>
                </c:pt>
                <c:pt idx="581">
                  <c:v>3.307982317836593</c:v>
                </c:pt>
                <c:pt idx="582">
                  <c:v>3.3136443806420743</c:v>
                </c:pt>
                <c:pt idx="583">
                  <c:v>3.3193064434475557</c:v>
                </c:pt>
                <c:pt idx="584">
                  <c:v>3.3249685062530374</c:v>
                </c:pt>
                <c:pt idx="585">
                  <c:v>3.3306305690585187</c:v>
                </c:pt>
                <c:pt idx="586">
                  <c:v>3.3362926318640005</c:v>
                </c:pt>
                <c:pt idx="587">
                  <c:v>3.3419546946694818</c:v>
                </c:pt>
                <c:pt idx="588">
                  <c:v>3.3476167574749631</c:v>
                </c:pt>
                <c:pt idx="589">
                  <c:v>3.3532788202804449</c:v>
                </c:pt>
                <c:pt idx="590">
                  <c:v>3.3589408830859262</c:v>
                </c:pt>
                <c:pt idx="591">
                  <c:v>3.3646029458914075</c:v>
                </c:pt>
                <c:pt idx="592">
                  <c:v>3.3702650086968893</c:v>
                </c:pt>
                <c:pt idx="593">
                  <c:v>3.3759270715023706</c:v>
                </c:pt>
                <c:pt idx="594">
                  <c:v>3.3815891343078524</c:v>
                </c:pt>
                <c:pt idx="595">
                  <c:v>3.3872511971133337</c:v>
                </c:pt>
                <c:pt idx="596">
                  <c:v>3.392913259918815</c:v>
                </c:pt>
                <c:pt idx="597">
                  <c:v>3.3985753227242967</c:v>
                </c:pt>
                <c:pt idx="598">
                  <c:v>3.4042373855297781</c:v>
                </c:pt>
                <c:pt idx="599">
                  <c:v>3.4098994483352594</c:v>
                </c:pt>
                <c:pt idx="600">
                  <c:v>3.4155615111407411</c:v>
                </c:pt>
                <c:pt idx="601">
                  <c:v>3.4212235739462225</c:v>
                </c:pt>
                <c:pt idx="602">
                  <c:v>3.4268856367517042</c:v>
                </c:pt>
                <c:pt idx="603">
                  <c:v>3.4325476995571855</c:v>
                </c:pt>
                <c:pt idx="604">
                  <c:v>3.4382097623626668</c:v>
                </c:pt>
                <c:pt idx="605">
                  <c:v>3.4438718251681486</c:v>
                </c:pt>
                <c:pt idx="606">
                  <c:v>3.4495338879736299</c:v>
                </c:pt>
                <c:pt idx="607">
                  <c:v>3.4551959507791112</c:v>
                </c:pt>
                <c:pt idx="608">
                  <c:v>3.460858013584593</c:v>
                </c:pt>
                <c:pt idx="609">
                  <c:v>3.4665200763900743</c:v>
                </c:pt>
                <c:pt idx="610">
                  <c:v>3.4721821391955561</c:v>
                </c:pt>
                <c:pt idx="611">
                  <c:v>3.4778442020010374</c:v>
                </c:pt>
                <c:pt idx="612">
                  <c:v>3.4835062648065187</c:v>
                </c:pt>
                <c:pt idx="613">
                  <c:v>3.4891683276120005</c:v>
                </c:pt>
                <c:pt idx="614">
                  <c:v>3.4948303904174818</c:v>
                </c:pt>
                <c:pt idx="615">
                  <c:v>3.5004924532229631</c:v>
                </c:pt>
                <c:pt idx="616">
                  <c:v>3.5061545160284449</c:v>
                </c:pt>
                <c:pt idx="617">
                  <c:v>3.5118165788339262</c:v>
                </c:pt>
                <c:pt idx="618">
                  <c:v>3.5174786416394079</c:v>
                </c:pt>
                <c:pt idx="619">
                  <c:v>3.5231407044448892</c:v>
                </c:pt>
                <c:pt idx="620">
                  <c:v>3.5288027672503706</c:v>
                </c:pt>
                <c:pt idx="621">
                  <c:v>3.5344648300558523</c:v>
                </c:pt>
                <c:pt idx="622">
                  <c:v>3.5401268928613336</c:v>
                </c:pt>
                <c:pt idx="623">
                  <c:v>3.545788955666815</c:v>
                </c:pt>
                <c:pt idx="624">
                  <c:v>3.5514510184722967</c:v>
                </c:pt>
                <c:pt idx="625">
                  <c:v>3.557113081277778</c:v>
                </c:pt>
                <c:pt idx="626">
                  <c:v>3.5627751440832598</c:v>
                </c:pt>
                <c:pt idx="627">
                  <c:v>3.5684372068887411</c:v>
                </c:pt>
                <c:pt idx="628">
                  <c:v>3.5740992696942224</c:v>
                </c:pt>
                <c:pt idx="629">
                  <c:v>3.5797613324997042</c:v>
                </c:pt>
                <c:pt idx="630">
                  <c:v>3.5854233953051855</c:v>
                </c:pt>
                <c:pt idx="631">
                  <c:v>3.5910854581106668</c:v>
                </c:pt>
                <c:pt idx="632">
                  <c:v>3.5967475209161486</c:v>
                </c:pt>
                <c:pt idx="633">
                  <c:v>3.6024095837216299</c:v>
                </c:pt>
                <c:pt idx="634">
                  <c:v>3.6080716465271117</c:v>
                </c:pt>
                <c:pt idx="635">
                  <c:v>3.613733709332593</c:v>
                </c:pt>
                <c:pt idx="636">
                  <c:v>3.6193957721380743</c:v>
                </c:pt>
                <c:pt idx="637">
                  <c:v>3.625057834943556</c:v>
                </c:pt>
                <c:pt idx="638">
                  <c:v>3.6307198977490374</c:v>
                </c:pt>
                <c:pt idx="639">
                  <c:v>3.6363819605545187</c:v>
                </c:pt>
                <c:pt idx="640">
                  <c:v>3.6420440233600004</c:v>
                </c:pt>
                <c:pt idx="641">
                  <c:v>3.6477060861654818</c:v>
                </c:pt>
                <c:pt idx="642">
                  <c:v>3.6533681489709631</c:v>
                </c:pt>
                <c:pt idx="643">
                  <c:v>3.6590302117764448</c:v>
                </c:pt>
                <c:pt idx="644">
                  <c:v>3.6646922745819261</c:v>
                </c:pt>
                <c:pt idx="645">
                  <c:v>3.6703543373874079</c:v>
                </c:pt>
                <c:pt idx="646">
                  <c:v>3.6760164001928892</c:v>
                </c:pt>
                <c:pt idx="647">
                  <c:v>3.6816784629983705</c:v>
                </c:pt>
                <c:pt idx="648">
                  <c:v>3.6873405258038523</c:v>
                </c:pt>
                <c:pt idx="649">
                  <c:v>3.6930025886093336</c:v>
                </c:pt>
                <c:pt idx="650">
                  <c:v>3.6986646514148149</c:v>
                </c:pt>
                <c:pt idx="651">
                  <c:v>3.7043267142202967</c:v>
                </c:pt>
                <c:pt idx="652">
                  <c:v>3.709988777025778</c:v>
                </c:pt>
                <c:pt idx="653">
                  <c:v>3.7156508398312598</c:v>
                </c:pt>
                <c:pt idx="654">
                  <c:v>3.7213129026367411</c:v>
                </c:pt>
                <c:pt idx="655">
                  <c:v>3.7269749654422224</c:v>
                </c:pt>
                <c:pt idx="656">
                  <c:v>3.7326370282477042</c:v>
                </c:pt>
                <c:pt idx="657">
                  <c:v>3.7382990910531855</c:v>
                </c:pt>
                <c:pt idx="658">
                  <c:v>3.7439611538586668</c:v>
                </c:pt>
                <c:pt idx="659">
                  <c:v>3.7496232166641486</c:v>
                </c:pt>
                <c:pt idx="660">
                  <c:v>3.7552852794696299</c:v>
                </c:pt>
                <c:pt idx="661">
                  <c:v>3.7609473422751116</c:v>
                </c:pt>
                <c:pt idx="662">
                  <c:v>3.7666094050805929</c:v>
                </c:pt>
                <c:pt idx="663">
                  <c:v>3.7722714678860743</c:v>
                </c:pt>
                <c:pt idx="664">
                  <c:v>3.777933530691556</c:v>
                </c:pt>
                <c:pt idx="665">
                  <c:v>3.7835955934970373</c:v>
                </c:pt>
                <c:pt idx="666">
                  <c:v>3.7892576563025187</c:v>
                </c:pt>
                <c:pt idx="667">
                  <c:v>3.7949197191080004</c:v>
                </c:pt>
                <c:pt idx="668">
                  <c:v>3.8005817819134817</c:v>
                </c:pt>
                <c:pt idx="669">
                  <c:v>3.8062438447189635</c:v>
                </c:pt>
                <c:pt idx="670">
                  <c:v>3.8119059075244448</c:v>
                </c:pt>
                <c:pt idx="671">
                  <c:v>3.8175679703299261</c:v>
                </c:pt>
                <c:pt idx="672">
                  <c:v>3.8232300331354079</c:v>
                </c:pt>
                <c:pt idx="673">
                  <c:v>3.8288920959408892</c:v>
                </c:pt>
                <c:pt idx="674">
                  <c:v>3.8345541587463705</c:v>
                </c:pt>
                <c:pt idx="675">
                  <c:v>3.8402162215518523</c:v>
                </c:pt>
                <c:pt idx="676">
                  <c:v>3.8458782843573336</c:v>
                </c:pt>
                <c:pt idx="677">
                  <c:v>3.8515403471628153</c:v>
                </c:pt>
                <c:pt idx="678">
                  <c:v>3.8572024099682967</c:v>
                </c:pt>
                <c:pt idx="679">
                  <c:v>3.862864472773778</c:v>
                </c:pt>
                <c:pt idx="680">
                  <c:v>3.8685265355792597</c:v>
                </c:pt>
                <c:pt idx="681">
                  <c:v>3.8741885983847411</c:v>
                </c:pt>
                <c:pt idx="682">
                  <c:v>3.8798506611902224</c:v>
                </c:pt>
                <c:pt idx="683">
                  <c:v>3.8855127239957041</c:v>
                </c:pt>
                <c:pt idx="684">
                  <c:v>3.8911747868011854</c:v>
                </c:pt>
                <c:pt idx="685">
                  <c:v>3.8968368496066672</c:v>
                </c:pt>
                <c:pt idx="686">
                  <c:v>3.9024989124121485</c:v>
                </c:pt>
                <c:pt idx="687">
                  <c:v>3.9081609752176298</c:v>
                </c:pt>
                <c:pt idx="688">
                  <c:v>3.9138230380231116</c:v>
                </c:pt>
                <c:pt idx="689">
                  <c:v>3.9194851008285929</c:v>
                </c:pt>
                <c:pt idx="690">
                  <c:v>3.9251471636340742</c:v>
                </c:pt>
                <c:pt idx="691">
                  <c:v>3.930809226439556</c:v>
                </c:pt>
                <c:pt idx="692">
                  <c:v>3.9364712892450373</c:v>
                </c:pt>
                <c:pt idx="693">
                  <c:v>3.9421333520505191</c:v>
                </c:pt>
                <c:pt idx="694">
                  <c:v>3.9477954148560004</c:v>
                </c:pt>
                <c:pt idx="695">
                  <c:v>3.9534574776614817</c:v>
                </c:pt>
                <c:pt idx="696">
                  <c:v>3.9591195404669635</c:v>
                </c:pt>
                <c:pt idx="697">
                  <c:v>3.9647816032724448</c:v>
                </c:pt>
                <c:pt idx="698">
                  <c:v>3.9704436660779261</c:v>
                </c:pt>
                <c:pt idx="699">
                  <c:v>3.9761057288834079</c:v>
                </c:pt>
                <c:pt idx="700">
                  <c:v>3.9817677916888892</c:v>
                </c:pt>
                <c:pt idx="701">
                  <c:v>3.9874298544943709</c:v>
                </c:pt>
                <c:pt idx="702">
                  <c:v>3.9930919172998522</c:v>
                </c:pt>
                <c:pt idx="703">
                  <c:v>3.9987539801053336</c:v>
                </c:pt>
                <c:pt idx="704">
                  <c:v>4.0044160429108153</c:v>
                </c:pt>
                <c:pt idx="705">
                  <c:v>4.0100781057162962</c:v>
                </c:pt>
                <c:pt idx="706">
                  <c:v>4.015740168521778</c:v>
                </c:pt>
                <c:pt idx="707">
                  <c:v>4.0214022313272588</c:v>
                </c:pt>
                <c:pt idx="708">
                  <c:v>4.0270642941327406</c:v>
                </c:pt>
                <c:pt idx="709">
                  <c:v>4.0327263569382223</c:v>
                </c:pt>
                <c:pt idx="710">
                  <c:v>4.0383884197437032</c:v>
                </c:pt>
                <c:pt idx="711">
                  <c:v>4.044050482549185</c:v>
                </c:pt>
                <c:pt idx="712">
                  <c:v>4.0497125453546667</c:v>
                </c:pt>
                <c:pt idx="713">
                  <c:v>4.0553746081601476</c:v>
                </c:pt>
                <c:pt idx="714">
                  <c:v>4.0610366709656294</c:v>
                </c:pt>
                <c:pt idx="715">
                  <c:v>4.0666987337711111</c:v>
                </c:pt>
                <c:pt idx="716">
                  <c:v>4.0723607965765929</c:v>
                </c:pt>
                <c:pt idx="717">
                  <c:v>4.0780228593820738</c:v>
                </c:pt>
                <c:pt idx="718">
                  <c:v>4.0836849221875555</c:v>
                </c:pt>
                <c:pt idx="719">
                  <c:v>4.0893469849930373</c:v>
                </c:pt>
                <c:pt idx="720">
                  <c:v>4.0950090477985182</c:v>
                </c:pt>
                <c:pt idx="721">
                  <c:v>4.1006711106039999</c:v>
                </c:pt>
                <c:pt idx="722">
                  <c:v>4.1063331734094817</c:v>
                </c:pt>
                <c:pt idx="723">
                  <c:v>4.1119952362149625</c:v>
                </c:pt>
                <c:pt idx="724">
                  <c:v>4.1176572990204443</c:v>
                </c:pt>
                <c:pt idx="725">
                  <c:v>4.1233193618259261</c:v>
                </c:pt>
                <c:pt idx="726">
                  <c:v>4.1289814246314069</c:v>
                </c:pt>
                <c:pt idx="727">
                  <c:v>4.1346434874368887</c:v>
                </c:pt>
                <c:pt idx="728">
                  <c:v>4.1403055502423705</c:v>
                </c:pt>
                <c:pt idx="729">
                  <c:v>4.1459676130478513</c:v>
                </c:pt>
                <c:pt idx="730">
                  <c:v>4.1516296758533331</c:v>
                </c:pt>
                <c:pt idx="731">
                  <c:v>4.1572917386588149</c:v>
                </c:pt>
                <c:pt idx="732">
                  <c:v>4.1629538014642966</c:v>
                </c:pt>
                <c:pt idx="733">
                  <c:v>4.1686158642697775</c:v>
                </c:pt>
                <c:pt idx="734">
                  <c:v>4.1742779270752592</c:v>
                </c:pt>
                <c:pt idx="735">
                  <c:v>4.179939989880741</c:v>
                </c:pt>
                <c:pt idx="736">
                  <c:v>4.1856020526862219</c:v>
                </c:pt>
                <c:pt idx="737">
                  <c:v>4.1912641154917036</c:v>
                </c:pt>
                <c:pt idx="738">
                  <c:v>4.1969261782971854</c:v>
                </c:pt>
                <c:pt idx="739">
                  <c:v>4.2025882411026663</c:v>
                </c:pt>
                <c:pt idx="740">
                  <c:v>4.208250303908148</c:v>
                </c:pt>
                <c:pt idx="741">
                  <c:v>4.2139123667136298</c:v>
                </c:pt>
                <c:pt idx="742">
                  <c:v>4.2195744295191107</c:v>
                </c:pt>
                <c:pt idx="743">
                  <c:v>4.2252364923245924</c:v>
                </c:pt>
                <c:pt idx="744">
                  <c:v>4.2308985551300742</c:v>
                </c:pt>
                <c:pt idx="745">
                  <c:v>4.2365606179355551</c:v>
                </c:pt>
                <c:pt idx="746">
                  <c:v>4.2422226807410368</c:v>
                </c:pt>
                <c:pt idx="747">
                  <c:v>4.2478847435465186</c:v>
                </c:pt>
                <c:pt idx="748">
                  <c:v>4.2535468063520003</c:v>
                </c:pt>
                <c:pt idx="749">
                  <c:v>4.2592088691574812</c:v>
                </c:pt>
                <c:pt idx="750">
                  <c:v>4.264870931962963</c:v>
                </c:pt>
                <c:pt idx="751">
                  <c:v>4.2705329947684447</c:v>
                </c:pt>
                <c:pt idx="752">
                  <c:v>4.2761950575739256</c:v>
                </c:pt>
                <c:pt idx="753">
                  <c:v>4.2818571203794074</c:v>
                </c:pt>
                <c:pt idx="754">
                  <c:v>4.2875191831848891</c:v>
                </c:pt>
                <c:pt idx="755">
                  <c:v>4.29318124599037</c:v>
                </c:pt>
                <c:pt idx="756">
                  <c:v>4.2988433087958517</c:v>
                </c:pt>
                <c:pt idx="757">
                  <c:v>4.3045053716013335</c:v>
                </c:pt>
                <c:pt idx="758">
                  <c:v>4.3101674344068144</c:v>
                </c:pt>
                <c:pt idx="759">
                  <c:v>4.3158294972122961</c:v>
                </c:pt>
                <c:pt idx="760">
                  <c:v>4.3214915600177779</c:v>
                </c:pt>
                <c:pt idx="761">
                  <c:v>4.3271536228232588</c:v>
                </c:pt>
                <c:pt idx="762">
                  <c:v>4.3328156856287405</c:v>
                </c:pt>
                <c:pt idx="763">
                  <c:v>4.3384777484342223</c:v>
                </c:pt>
                <c:pt idx="764">
                  <c:v>4.3441398112397041</c:v>
                </c:pt>
                <c:pt idx="765">
                  <c:v>4.3498018740451849</c:v>
                </c:pt>
                <c:pt idx="766">
                  <c:v>4.3554639368506667</c:v>
                </c:pt>
                <c:pt idx="767">
                  <c:v>4.3611259996561484</c:v>
                </c:pt>
                <c:pt idx="768">
                  <c:v>4.3667880624616293</c:v>
                </c:pt>
                <c:pt idx="769">
                  <c:v>4.3724501252671111</c:v>
                </c:pt>
                <c:pt idx="770">
                  <c:v>4.3781121880725928</c:v>
                </c:pt>
                <c:pt idx="771">
                  <c:v>4.3837742508780737</c:v>
                </c:pt>
                <c:pt idx="772">
                  <c:v>4.3894363136835555</c:v>
                </c:pt>
                <c:pt idx="773">
                  <c:v>4.3950983764890372</c:v>
                </c:pt>
                <c:pt idx="774">
                  <c:v>4.4007604392945181</c:v>
                </c:pt>
                <c:pt idx="775">
                  <c:v>4.4064225020999999</c:v>
                </c:pt>
                <c:pt idx="776">
                  <c:v>4.4120845649054816</c:v>
                </c:pt>
                <c:pt idx="777">
                  <c:v>4.4177466277109625</c:v>
                </c:pt>
                <c:pt idx="778">
                  <c:v>4.4234086905164443</c:v>
                </c:pt>
                <c:pt idx="779">
                  <c:v>4.429070753321926</c:v>
                </c:pt>
                <c:pt idx="780">
                  <c:v>4.4347328161274069</c:v>
                </c:pt>
                <c:pt idx="781">
                  <c:v>4.4403948789328886</c:v>
                </c:pt>
                <c:pt idx="782">
                  <c:v>4.4460569417383704</c:v>
                </c:pt>
                <c:pt idx="783">
                  <c:v>4.4517190045438522</c:v>
                </c:pt>
                <c:pt idx="784">
                  <c:v>4.457381067349333</c:v>
                </c:pt>
                <c:pt idx="785">
                  <c:v>4.4630431301548148</c:v>
                </c:pt>
                <c:pt idx="786">
                  <c:v>4.4687051929602966</c:v>
                </c:pt>
                <c:pt idx="787">
                  <c:v>4.4743672557657774</c:v>
                </c:pt>
                <c:pt idx="788">
                  <c:v>4.4800293185712592</c:v>
                </c:pt>
                <c:pt idx="789">
                  <c:v>4.4856913813767409</c:v>
                </c:pt>
                <c:pt idx="790">
                  <c:v>4.4913534441822218</c:v>
                </c:pt>
                <c:pt idx="791">
                  <c:v>4.4970155069877036</c:v>
                </c:pt>
                <c:pt idx="792">
                  <c:v>4.5026775697931853</c:v>
                </c:pt>
                <c:pt idx="793">
                  <c:v>4.5083396325986662</c:v>
                </c:pt>
                <c:pt idx="794">
                  <c:v>4.514001695404148</c:v>
                </c:pt>
                <c:pt idx="795">
                  <c:v>4.5196637582096297</c:v>
                </c:pt>
                <c:pt idx="796">
                  <c:v>4.5253258210151106</c:v>
                </c:pt>
                <c:pt idx="797">
                  <c:v>4.5309878838205924</c:v>
                </c:pt>
                <c:pt idx="798">
                  <c:v>4.5366499466260741</c:v>
                </c:pt>
                <c:pt idx="799">
                  <c:v>4.5423120094315559</c:v>
                </c:pt>
                <c:pt idx="800">
                  <c:v>4.5479740722370368</c:v>
                </c:pt>
                <c:pt idx="801">
                  <c:v>4.5536361350425185</c:v>
                </c:pt>
                <c:pt idx="802">
                  <c:v>4.5592981978480003</c:v>
                </c:pt>
                <c:pt idx="803">
                  <c:v>4.5649602606534811</c:v>
                </c:pt>
                <c:pt idx="804">
                  <c:v>4.5706223234589629</c:v>
                </c:pt>
                <c:pt idx="805">
                  <c:v>4.5762843862644447</c:v>
                </c:pt>
                <c:pt idx="806">
                  <c:v>4.5819464490699255</c:v>
                </c:pt>
                <c:pt idx="807">
                  <c:v>4.5876085118754073</c:v>
                </c:pt>
                <c:pt idx="808">
                  <c:v>4.5932705746808891</c:v>
                </c:pt>
                <c:pt idx="809">
                  <c:v>4.5989326374863699</c:v>
                </c:pt>
                <c:pt idx="810">
                  <c:v>4.6045947002918517</c:v>
                </c:pt>
                <c:pt idx="811">
                  <c:v>4.6102567630973335</c:v>
                </c:pt>
                <c:pt idx="812">
                  <c:v>4.6159188259028143</c:v>
                </c:pt>
                <c:pt idx="813">
                  <c:v>4.6215808887082961</c:v>
                </c:pt>
                <c:pt idx="814">
                  <c:v>4.6272429515137778</c:v>
                </c:pt>
                <c:pt idx="815">
                  <c:v>4.6329050143192596</c:v>
                </c:pt>
                <c:pt idx="816">
                  <c:v>4.6385670771247405</c:v>
                </c:pt>
                <c:pt idx="817">
                  <c:v>4.6442291399302222</c:v>
                </c:pt>
                <c:pt idx="818">
                  <c:v>4.649891202735704</c:v>
                </c:pt>
                <c:pt idx="819">
                  <c:v>4.6555532655411849</c:v>
                </c:pt>
                <c:pt idx="820">
                  <c:v>4.6612153283466666</c:v>
                </c:pt>
                <c:pt idx="821">
                  <c:v>4.6668773911521484</c:v>
                </c:pt>
                <c:pt idx="822">
                  <c:v>4.6725394539576293</c:v>
                </c:pt>
                <c:pt idx="823">
                  <c:v>4.678201516763111</c:v>
                </c:pt>
                <c:pt idx="824">
                  <c:v>4.6838635795685928</c:v>
                </c:pt>
                <c:pt idx="825">
                  <c:v>4.6895256423740737</c:v>
                </c:pt>
                <c:pt idx="826">
                  <c:v>4.6951877051795554</c:v>
                </c:pt>
                <c:pt idx="827">
                  <c:v>4.7008497679850372</c:v>
                </c:pt>
                <c:pt idx="828">
                  <c:v>4.706511830790518</c:v>
                </c:pt>
                <c:pt idx="829">
                  <c:v>4.7121738935959998</c:v>
                </c:pt>
                <c:pt idx="830">
                  <c:v>4.7178359564014816</c:v>
                </c:pt>
                <c:pt idx="831">
                  <c:v>4.7234980192069633</c:v>
                </c:pt>
                <c:pt idx="832">
                  <c:v>4.7291600820124442</c:v>
                </c:pt>
                <c:pt idx="833">
                  <c:v>4.734822144817926</c:v>
                </c:pt>
                <c:pt idx="834">
                  <c:v>4.7404842076234077</c:v>
                </c:pt>
                <c:pt idx="835">
                  <c:v>4.7461462704288886</c:v>
                </c:pt>
                <c:pt idx="836">
                  <c:v>4.7518083332343704</c:v>
                </c:pt>
                <c:pt idx="837">
                  <c:v>4.7574703960398521</c:v>
                </c:pt>
                <c:pt idx="838">
                  <c:v>4.763132458845333</c:v>
                </c:pt>
                <c:pt idx="839">
                  <c:v>4.7687945216508147</c:v>
                </c:pt>
                <c:pt idx="840">
                  <c:v>4.7744565844562965</c:v>
                </c:pt>
                <c:pt idx="841">
                  <c:v>4.7801186472617774</c:v>
                </c:pt>
                <c:pt idx="842">
                  <c:v>4.7857807100672591</c:v>
                </c:pt>
                <c:pt idx="843">
                  <c:v>4.7914427728727409</c:v>
                </c:pt>
                <c:pt idx="844">
                  <c:v>4.7971048356782218</c:v>
                </c:pt>
                <c:pt idx="845">
                  <c:v>4.8027668984837035</c:v>
                </c:pt>
                <c:pt idx="846">
                  <c:v>4.8084289612891853</c:v>
                </c:pt>
                <c:pt idx="847">
                  <c:v>4.8140910240946662</c:v>
                </c:pt>
                <c:pt idx="848">
                  <c:v>4.8197530869001479</c:v>
                </c:pt>
                <c:pt idx="849">
                  <c:v>4.8254151497056297</c:v>
                </c:pt>
                <c:pt idx="850">
                  <c:v>4.8310772125111114</c:v>
                </c:pt>
                <c:pt idx="851">
                  <c:v>4.8367392753165923</c:v>
                </c:pt>
                <c:pt idx="852">
                  <c:v>4.8424013381220741</c:v>
                </c:pt>
                <c:pt idx="853">
                  <c:v>4.8480634009275558</c:v>
                </c:pt>
                <c:pt idx="854">
                  <c:v>4.8537254637330367</c:v>
                </c:pt>
                <c:pt idx="855">
                  <c:v>4.8593875265385185</c:v>
                </c:pt>
                <c:pt idx="856">
                  <c:v>4.8650495893440002</c:v>
                </c:pt>
                <c:pt idx="857">
                  <c:v>4.8707116521494811</c:v>
                </c:pt>
                <c:pt idx="858">
                  <c:v>4.8763737149549629</c:v>
                </c:pt>
                <c:pt idx="859">
                  <c:v>4.8820357777604446</c:v>
                </c:pt>
                <c:pt idx="860">
                  <c:v>4.8876978405659255</c:v>
                </c:pt>
                <c:pt idx="861">
                  <c:v>4.8933599033714072</c:v>
                </c:pt>
                <c:pt idx="862">
                  <c:v>4.899021966176889</c:v>
                </c:pt>
                <c:pt idx="863">
                  <c:v>4.9046840289823699</c:v>
                </c:pt>
                <c:pt idx="864">
                  <c:v>4.9103460917878516</c:v>
                </c:pt>
                <c:pt idx="865">
                  <c:v>4.9160081545933334</c:v>
                </c:pt>
                <c:pt idx="866">
                  <c:v>4.9216702173988152</c:v>
                </c:pt>
                <c:pt idx="867">
                  <c:v>4.927332280204296</c:v>
                </c:pt>
                <c:pt idx="868">
                  <c:v>4.9329943430097778</c:v>
                </c:pt>
                <c:pt idx="869">
                  <c:v>4.9386564058152596</c:v>
                </c:pt>
                <c:pt idx="870">
                  <c:v>4.9443184686207404</c:v>
                </c:pt>
                <c:pt idx="871">
                  <c:v>4.9499805314262222</c:v>
                </c:pt>
                <c:pt idx="872">
                  <c:v>4.9556425942317039</c:v>
                </c:pt>
                <c:pt idx="873">
                  <c:v>4.9613046570371848</c:v>
                </c:pt>
                <c:pt idx="874">
                  <c:v>4.9669667198426666</c:v>
                </c:pt>
                <c:pt idx="875">
                  <c:v>4.9726287826481483</c:v>
                </c:pt>
                <c:pt idx="876">
                  <c:v>4.9782908454536292</c:v>
                </c:pt>
                <c:pt idx="877">
                  <c:v>4.983952908259111</c:v>
                </c:pt>
                <c:pt idx="878">
                  <c:v>4.9896149710645927</c:v>
                </c:pt>
                <c:pt idx="879">
                  <c:v>4.9952770338700736</c:v>
                </c:pt>
                <c:pt idx="880">
                  <c:v>5.0009390966755554</c:v>
                </c:pt>
                <c:pt idx="881">
                  <c:v>5.0066011594810371</c:v>
                </c:pt>
                <c:pt idx="882">
                  <c:v>5.0122632222865189</c:v>
                </c:pt>
                <c:pt idx="883">
                  <c:v>5.0179252850919998</c:v>
                </c:pt>
                <c:pt idx="884">
                  <c:v>5.0235873478974815</c:v>
                </c:pt>
                <c:pt idx="885">
                  <c:v>5.0292494107029633</c:v>
                </c:pt>
                <c:pt idx="886">
                  <c:v>5.0349114735084441</c:v>
                </c:pt>
                <c:pt idx="887">
                  <c:v>5.0405735363139259</c:v>
                </c:pt>
                <c:pt idx="888">
                  <c:v>5.0462355991194077</c:v>
                </c:pt>
                <c:pt idx="889">
                  <c:v>5.0518976619248885</c:v>
                </c:pt>
                <c:pt idx="890">
                  <c:v>5.0575597247303703</c:v>
                </c:pt>
                <c:pt idx="891">
                  <c:v>5.0632217875358521</c:v>
                </c:pt>
                <c:pt idx="892">
                  <c:v>5.0688838503413329</c:v>
                </c:pt>
                <c:pt idx="893">
                  <c:v>5.0745459131468147</c:v>
                </c:pt>
                <c:pt idx="894">
                  <c:v>5.0802079759522965</c:v>
                </c:pt>
                <c:pt idx="895">
                  <c:v>5.0858700387577773</c:v>
                </c:pt>
                <c:pt idx="896">
                  <c:v>5.0915321015632591</c:v>
                </c:pt>
                <c:pt idx="897">
                  <c:v>5.0971941643687408</c:v>
                </c:pt>
                <c:pt idx="898">
                  <c:v>5.1028562271742217</c:v>
                </c:pt>
                <c:pt idx="899">
                  <c:v>5.1085182899797035</c:v>
                </c:pt>
                <c:pt idx="900">
                  <c:v>5.1141803527851852</c:v>
                </c:pt>
                <c:pt idx="901">
                  <c:v>5.119842415590667</c:v>
                </c:pt>
                <c:pt idx="902">
                  <c:v>5.1255044783961479</c:v>
                </c:pt>
                <c:pt idx="903">
                  <c:v>5.1311665412016296</c:v>
                </c:pt>
                <c:pt idx="904">
                  <c:v>5.1368286040071114</c:v>
                </c:pt>
                <c:pt idx="905">
                  <c:v>5.1424906668125923</c:v>
                </c:pt>
                <c:pt idx="906">
                  <c:v>5.148152729618074</c:v>
                </c:pt>
                <c:pt idx="907">
                  <c:v>5.1538147924235558</c:v>
                </c:pt>
                <c:pt idx="908">
                  <c:v>5.1594768552290367</c:v>
                </c:pt>
                <c:pt idx="909">
                  <c:v>5.1651389180345184</c:v>
                </c:pt>
                <c:pt idx="910">
                  <c:v>5.1708009808400002</c:v>
                </c:pt>
                <c:pt idx="911">
                  <c:v>5.176463043645481</c:v>
                </c:pt>
                <c:pt idx="912">
                  <c:v>5.1821251064509628</c:v>
                </c:pt>
                <c:pt idx="913">
                  <c:v>5.1877871692564446</c:v>
                </c:pt>
                <c:pt idx="914">
                  <c:v>5.1934492320619254</c:v>
                </c:pt>
                <c:pt idx="915">
                  <c:v>5.1991112948674072</c:v>
                </c:pt>
                <c:pt idx="916">
                  <c:v>5.204773357672889</c:v>
                </c:pt>
                <c:pt idx="917">
                  <c:v>5.2104354204783707</c:v>
                </c:pt>
                <c:pt idx="918">
                  <c:v>5.2160974832838516</c:v>
                </c:pt>
                <c:pt idx="919">
                  <c:v>5.2217595460893333</c:v>
                </c:pt>
                <c:pt idx="920">
                  <c:v>5.2274216088948151</c:v>
                </c:pt>
                <c:pt idx="921">
                  <c:v>5.233083671700296</c:v>
                </c:pt>
                <c:pt idx="922">
                  <c:v>5.2387457345057777</c:v>
                </c:pt>
                <c:pt idx="923">
                  <c:v>5.2444077973112595</c:v>
                </c:pt>
                <c:pt idx="924">
                  <c:v>5.2500698601167404</c:v>
                </c:pt>
                <c:pt idx="925">
                  <c:v>5.2557319229222221</c:v>
                </c:pt>
                <c:pt idx="926">
                  <c:v>5.2613939857277039</c:v>
                </c:pt>
                <c:pt idx="927">
                  <c:v>5.2670560485331848</c:v>
                </c:pt>
                <c:pt idx="928">
                  <c:v>5.2727181113386665</c:v>
                </c:pt>
                <c:pt idx="929">
                  <c:v>5.2783801741441483</c:v>
                </c:pt>
                <c:pt idx="930">
                  <c:v>5.2840422369496292</c:v>
                </c:pt>
                <c:pt idx="931">
                  <c:v>5.2897042997551109</c:v>
                </c:pt>
                <c:pt idx="932">
                  <c:v>5.2953663625605927</c:v>
                </c:pt>
                <c:pt idx="933">
                  <c:v>5.3010284253660744</c:v>
                </c:pt>
                <c:pt idx="934">
                  <c:v>5.3066904881715553</c:v>
                </c:pt>
                <c:pt idx="935">
                  <c:v>5.3123525509770371</c:v>
                </c:pt>
                <c:pt idx="936">
                  <c:v>5.3180146137825188</c:v>
                </c:pt>
                <c:pt idx="937">
                  <c:v>5.3236766765879997</c:v>
                </c:pt>
                <c:pt idx="938">
                  <c:v>5.3293387393934815</c:v>
                </c:pt>
                <c:pt idx="939">
                  <c:v>5.3350008021989632</c:v>
                </c:pt>
                <c:pt idx="940">
                  <c:v>5.3406628650044441</c:v>
                </c:pt>
                <c:pt idx="941">
                  <c:v>5.3463249278099259</c:v>
                </c:pt>
                <c:pt idx="942">
                  <c:v>5.3519869906154076</c:v>
                </c:pt>
                <c:pt idx="943">
                  <c:v>5.3576490534208885</c:v>
                </c:pt>
                <c:pt idx="944">
                  <c:v>5.3633111162263702</c:v>
                </c:pt>
                <c:pt idx="945">
                  <c:v>5.368973179031852</c:v>
                </c:pt>
                <c:pt idx="946">
                  <c:v>5.3746352418373329</c:v>
                </c:pt>
                <c:pt idx="947">
                  <c:v>5.3802973046428146</c:v>
                </c:pt>
                <c:pt idx="948">
                  <c:v>5.3859593674482964</c:v>
                </c:pt>
                <c:pt idx="949">
                  <c:v>5.3916214302537782</c:v>
                </c:pt>
                <c:pt idx="950">
                  <c:v>5.397283493059259</c:v>
                </c:pt>
                <c:pt idx="951">
                  <c:v>5.4029455558647408</c:v>
                </c:pt>
                <c:pt idx="952">
                  <c:v>5.4086076186702225</c:v>
                </c:pt>
                <c:pt idx="953">
                  <c:v>5.4142696814757034</c:v>
                </c:pt>
                <c:pt idx="954">
                  <c:v>5.4199317442811852</c:v>
                </c:pt>
                <c:pt idx="955">
                  <c:v>5.4255938070866669</c:v>
                </c:pt>
                <c:pt idx="956">
                  <c:v>5.4312558698921478</c:v>
                </c:pt>
                <c:pt idx="957">
                  <c:v>5.4369179326976296</c:v>
                </c:pt>
                <c:pt idx="958">
                  <c:v>5.4425799955031113</c:v>
                </c:pt>
                <c:pt idx="959">
                  <c:v>5.4482420583085922</c:v>
                </c:pt>
                <c:pt idx="960">
                  <c:v>5.453904121114074</c:v>
                </c:pt>
                <c:pt idx="961">
                  <c:v>5.4595661839195557</c:v>
                </c:pt>
                <c:pt idx="962">
                  <c:v>5.4652282467250366</c:v>
                </c:pt>
                <c:pt idx="963">
                  <c:v>5.4708903095305184</c:v>
                </c:pt>
                <c:pt idx="964">
                  <c:v>5.4765523723360001</c:v>
                </c:pt>
                <c:pt idx="965">
                  <c:v>5.482214435141481</c:v>
                </c:pt>
                <c:pt idx="966">
                  <c:v>5.4878764979469628</c:v>
                </c:pt>
                <c:pt idx="967">
                  <c:v>5.4935385607524445</c:v>
                </c:pt>
                <c:pt idx="968">
                  <c:v>5.4992006235579263</c:v>
                </c:pt>
                <c:pt idx="969">
                  <c:v>5.5048626863634071</c:v>
                </c:pt>
                <c:pt idx="970">
                  <c:v>5.5105247491688889</c:v>
                </c:pt>
                <c:pt idx="971">
                  <c:v>5.5161868119743707</c:v>
                </c:pt>
                <c:pt idx="972">
                  <c:v>5.5218488747798515</c:v>
                </c:pt>
                <c:pt idx="973">
                  <c:v>5.5275109375853333</c:v>
                </c:pt>
                <c:pt idx="974">
                  <c:v>5.5331730003908151</c:v>
                </c:pt>
                <c:pt idx="975">
                  <c:v>5.5388350631962959</c:v>
                </c:pt>
                <c:pt idx="976">
                  <c:v>5.5444971260017777</c:v>
                </c:pt>
                <c:pt idx="977">
                  <c:v>5.5501591888072594</c:v>
                </c:pt>
                <c:pt idx="978">
                  <c:v>5.5558212516127403</c:v>
                </c:pt>
                <c:pt idx="979">
                  <c:v>5.5614833144182221</c:v>
                </c:pt>
                <c:pt idx="980">
                  <c:v>5.5671453772237038</c:v>
                </c:pt>
                <c:pt idx="981">
                  <c:v>5.5728074400291847</c:v>
                </c:pt>
                <c:pt idx="982">
                  <c:v>5.5784695028346665</c:v>
                </c:pt>
                <c:pt idx="983">
                  <c:v>5.5841315656401482</c:v>
                </c:pt>
                <c:pt idx="984">
                  <c:v>5.58979362844563</c:v>
                </c:pt>
                <c:pt idx="985">
                  <c:v>5.5954556912511109</c:v>
                </c:pt>
                <c:pt idx="986">
                  <c:v>5.6011177540565926</c:v>
                </c:pt>
                <c:pt idx="987">
                  <c:v>5.6067798168620744</c:v>
                </c:pt>
                <c:pt idx="988">
                  <c:v>5.6124418796675553</c:v>
                </c:pt>
                <c:pt idx="989">
                  <c:v>5.618103942473037</c:v>
                </c:pt>
                <c:pt idx="990">
                  <c:v>5.6237660052785188</c:v>
                </c:pt>
                <c:pt idx="991">
                  <c:v>5.6294280680839996</c:v>
                </c:pt>
                <c:pt idx="992">
                  <c:v>5.6350901308894814</c:v>
                </c:pt>
                <c:pt idx="993">
                  <c:v>5.6407521936949632</c:v>
                </c:pt>
                <c:pt idx="994">
                  <c:v>5.646414256500444</c:v>
                </c:pt>
                <c:pt idx="995">
                  <c:v>5.6520763193059258</c:v>
                </c:pt>
                <c:pt idx="996">
                  <c:v>5.6577383821114076</c:v>
                </c:pt>
                <c:pt idx="997">
                  <c:v>5.6634004449168884</c:v>
                </c:pt>
                <c:pt idx="998">
                  <c:v>5.6690625077223702</c:v>
                </c:pt>
                <c:pt idx="999">
                  <c:v>5.674724570527852</c:v>
                </c:pt>
                <c:pt idx="1000">
                  <c:v>5.6803866333333337</c:v>
                </c:pt>
              </c:numCache>
            </c:numRef>
          </c:xVal>
          <c:yVal>
            <c:numRef>
              <c:f>'C1'!$DC$12:$DC$1012</c:f>
              <c:numCache>
                <c:formatCode>General</c:formatCode>
                <c:ptCount val="1001"/>
                <c:pt idx="0">
                  <c:v>0.17267030127796312</c:v>
                </c:pt>
                <c:pt idx="1">
                  <c:v>0.16868450674741362</c:v>
                </c:pt>
                <c:pt idx="2">
                  <c:v>0.16471281747589508</c:v>
                </c:pt>
                <c:pt idx="3">
                  <c:v>0.16075520512914598</c:v>
                </c:pt>
                <c:pt idx="4">
                  <c:v>0.15681164137290482</c:v>
                </c:pt>
                <c:pt idx="5">
                  <c:v>0.1528820978729101</c:v>
                </c:pt>
                <c:pt idx="6">
                  <c:v>0.1489665462949003</c:v>
                </c:pt>
                <c:pt idx="7">
                  <c:v>0.14506495830461388</c:v>
                </c:pt>
                <c:pt idx="8">
                  <c:v>0.14117730556778935</c:v>
                </c:pt>
                <c:pt idx="9">
                  <c:v>0.13730355975016523</c:v>
                </c:pt>
                <c:pt idx="10">
                  <c:v>0.13344369251747995</c:v>
                </c:pt>
                <c:pt idx="11">
                  <c:v>0.12959767553547205</c:v>
                </c:pt>
                <c:pt idx="12">
                  <c:v>0.12576548046987998</c:v>
                </c:pt>
                <c:pt idx="13">
                  <c:v>0.12194707898644226</c:v>
                </c:pt>
                <c:pt idx="14">
                  <c:v>0.11814244275089736</c:v>
                </c:pt>
                <c:pt idx="15">
                  <c:v>0.11435154342898378</c:v>
                </c:pt>
                <c:pt idx="16">
                  <c:v>0.11057435268644</c:v>
                </c:pt>
                <c:pt idx="17">
                  <c:v>0.10681084218900451</c:v>
                </c:pt>
                <c:pt idx="18">
                  <c:v>0.10306098360241581</c:v>
                </c:pt>
                <c:pt idx="19">
                  <c:v>9.9324748592412374E-2</c:v>
                </c:pt>
                <c:pt idx="20">
                  <c:v>9.560210882473269E-2</c:v>
                </c:pt>
                <c:pt idx="21">
                  <c:v>9.1893035965115263E-2</c:v>
                </c:pt>
                <c:pt idx="22">
                  <c:v>8.8197501679298559E-2</c:v>
                </c:pt>
                <c:pt idx="23">
                  <c:v>8.4515477633021086E-2</c:v>
                </c:pt>
                <c:pt idx="24">
                  <c:v>8.0846935492021321E-2</c:v>
                </c:pt>
                <c:pt idx="25">
                  <c:v>7.719184692203776E-2</c:v>
                </c:pt>
                <c:pt idx="26">
                  <c:v>7.3550183588808909E-2</c:v>
                </c:pt>
                <c:pt idx="27">
                  <c:v>6.9921917158073221E-2</c:v>
                </c:pt>
                <c:pt idx="28">
                  <c:v>6.6307019295569189E-2</c:v>
                </c:pt>
                <c:pt idx="29">
                  <c:v>6.2705461667035348E-2</c:v>
                </c:pt>
                <c:pt idx="30">
                  <c:v>5.9117215938210149E-2</c:v>
                </c:pt>
                <c:pt idx="31">
                  <c:v>5.5542253774832046E-2</c:v>
                </c:pt>
                <c:pt idx="32">
                  <c:v>5.1980546842639586E-2</c:v>
                </c:pt>
                <c:pt idx="33">
                  <c:v>4.8432066807371277E-2</c:v>
                </c:pt>
                <c:pt idx="34">
                  <c:v>4.4896785334765515E-2</c:v>
                </c:pt>
                <c:pt idx="35">
                  <c:v>4.1374674090560865E-2</c:v>
                </c:pt>
                <c:pt idx="36">
                  <c:v>3.7865704740495804E-2</c:v>
                </c:pt>
                <c:pt idx="37">
                  <c:v>3.4369848950308812E-2</c:v>
                </c:pt>
                <c:pt idx="38">
                  <c:v>3.0887078385738342E-2</c:v>
                </c:pt>
                <c:pt idx="39">
                  <c:v>2.7417364712522957E-2</c:v>
                </c:pt>
                <c:pt idx="40">
                  <c:v>2.3960679596401108E-2</c:v>
                </c:pt>
                <c:pt idx="41">
                  <c:v>2.0516994703111247E-2</c:v>
                </c:pt>
                <c:pt idx="42">
                  <c:v>1.7086281698391936E-2</c:v>
                </c:pt>
                <c:pt idx="43">
                  <c:v>1.3668512247981629E-2</c:v>
                </c:pt>
                <c:pt idx="44">
                  <c:v>1.0263658017618776E-2</c:v>
                </c:pt>
                <c:pt idx="45">
                  <c:v>6.8716906730419691E-3</c:v>
                </c:pt>
                <c:pt idx="46">
                  <c:v>3.4925818799895758E-3</c:v>
                </c:pt>
                <c:pt idx="47">
                  <c:v>1.2630330420013158E-4</c:v>
                </c:pt>
                <c:pt idx="48">
                  <c:v>-3.2271733885878284E-3</c:v>
                </c:pt>
                <c:pt idx="49">
                  <c:v>-6.5678765326359079E-3</c:v>
                </c:pt>
                <c:pt idx="50">
                  <c:v>-9.8958344622055161E-3</c:v>
                </c:pt>
                <c:pt idx="51">
                  <c:v>-1.3211075511558229E-2</c:v>
                </c:pt>
                <c:pt idx="52">
                  <c:v>-1.6513628014955567E-2</c:v>
                </c:pt>
                <c:pt idx="53">
                  <c:v>-1.9803520306658995E-2</c:v>
                </c:pt>
                <c:pt idx="54">
                  <c:v>-2.3080780720930033E-2</c:v>
                </c:pt>
                <c:pt idx="55">
                  <c:v>-2.634543759203023E-2</c:v>
                </c:pt>
                <c:pt idx="56">
                  <c:v>-2.959751925422105E-2</c:v>
                </c:pt>
                <c:pt idx="57">
                  <c:v>-3.2837054041764013E-2</c:v>
                </c:pt>
                <c:pt idx="58">
                  <c:v>-3.6064070288920669E-2</c:v>
                </c:pt>
                <c:pt idx="59">
                  <c:v>-3.9278596329952481E-2</c:v>
                </c:pt>
                <c:pt idx="60">
                  <c:v>-4.2480660499121026E-2</c:v>
                </c:pt>
                <c:pt idx="61">
                  <c:v>-4.567029113068774E-2</c:v>
                </c:pt>
                <c:pt idx="62">
                  <c:v>-4.8847516558914145E-2</c:v>
                </c:pt>
                <c:pt idx="63">
                  <c:v>-5.2012365118061787E-2</c:v>
                </c:pt>
                <c:pt idx="64">
                  <c:v>-5.5164865142392161E-2</c:v>
                </c:pt>
                <c:pt idx="65">
                  <c:v>-5.8305044966166786E-2</c:v>
                </c:pt>
                <c:pt idx="66">
                  <c:v>-6.1432932923647154E-2</c:v>
                </c:pt>
                <c:pt idx="67">
                  <c:v>-6.4548557349094871E-2</c:v>
                </c:pt>
                <c:pt idx="68">
                  <c:v>-6.765194657677126E-2</c:v>
                </c:pt>
                <c:pt idx="69">
                  <c:v>-7.0743128940937983E-2</c:v>
                </c:pt>
                <c:pt idx="70">
                  <c:v>-7.3822132775856475E-2</c:v>
                </c:pt>
                <c:pt idx="71">
                  <c:v>-7.6888986415788285E-2</c:v>
                </c:pt>
                <c:pt idx="72">
                  <c:v>-7.9943718194994906E-2</c:v>
                </c:pt>
                <c:pt idx="73">
                  <c:v>-8.2986356447737997E-2</c:v>
                </c:pt>
                <c:pt idx="74">
                  <c:v>-8.6016929508278772E-2</c:v>
                </c:pt>
                <c:pt idx="75">
                  <c:v>-8.9035465710878947E-2</c:v>
                </c:pt>
                <c:pt idx="76">
                  <c:v>-9.2041993389800014E-2</c:v>
                </c:pt>
                <c:pt idx="77">
                  <c:v>-9.5036540879303411E-2</c:v>
                </c:pt>
                <c:pt idx="78">
                  <c:v>-9.801913651365074E-2</c:v>
                </c:pt>
                <c:pt idx="79">
                  <c:v>-0.10098980862710344</c:v>
                </c:pt>
                <c:pt idx="80">
                  <c:v>-0.10394858555392317</c:v>
                </c:pt>
                <c:pt idx="81">
                  <c:v>-0.1068954956283712</c:v>
                </c:pt>
                <c:pt idx="82">
                  <c:v>-0.10983056718470918</c:v>
                </c:pt>
                <c:pt idx="83">
                  <c:v>-0.11275382855719862</c:v>
                </c:pt>
                <c:pt idx="84">
                  <c:v>-0.115665308080101</c:v>
                </c:pt>
                <c:pt idx="85">
                  <c:v>-0.11856503408767782</c:v>
                </c:pt>
                <c:pt idx="86">
                  <c:v>-0.12145303491419074</c:v>
                </c:pt>
                <c:pt idx="87">
                  <c:v>-0.12432933889390108</c:v>
                </c:pt>
                <c:pt idx="88">
                  <c:v>-0.12719397436107044</c:v>
                </c:pt>
                <c:pt idx="89">
                  <c:v>-0.13004696964996021</c:v>
                </c:pt>
                <c:pt idx="90">
                  <c:v>-0.13288835309483205</c:v>
                </c:pt>
                <c:pt idx="91">
                  <c:v>-0.1357181530299475</c:v>
                </c:pt>
                <c:pt idx="92">
                  <c:v>-0.13853639778956794</c:v>
                </c:pt>
                <c:pt idx="93">
                  <c:v>-0.14134311570795499</c:v>
                </c:pt>
                <c:pt idx="94">
                  <c:v>-0.14413833511937002</c:v>
                </c:pt>
                <c:pt idx="95">
                  <c:v>-0.14692208435807474</c:v>
                </c:pt>
                <c:pt idx="96">
                  <c:v>-0.14969439175833044</c:v>
                </c:pt>
                <c:pt idx="97">
                  <c:v>-0.15245528565439881</c:v>
                </c:pt>
                <c:pt idx="98">
                  <c:v>-0.1552047943805413</c:v>
                </c:pt>
                <c:pt idx="99">
                  <c:v>-0.1579429462710194</c:v>
                </c:pt>
                <c:pt idx="100">
                  <c:v>-0.16066976966009461</c:v>
                </c:pt>
                <c:pt idx="101">
                  <c:v>-0.16338529288202852</c:v>
                </c:pt>
                <c:pt idx="102">
                  <c:v>-0.16608954427108247</c:v>
                </c:pt>
                <c:pt idx="103">
                  <c:v>-0.16878255216151822</c:v>
                </c:pt>
                <c:pt idx="104">
                  <c:v>-0.1714643448875971</c:v>
                </c:pt>
                <c:pt idx="105">
                  <c:v>-0.17413495078358066</c:v>
                </c:pt>
                <c:pt idx="106">
                  <c:v>-0.17679439818373044</c:v>
                </c:pt>
                <c:pt idx="107">
                  <c:v>-0.17944271542230794</c:v>
                </c:pt>
                <c:pt idx="108">
                  <c:v>-0.18207993083357465</c:v>
                </c:pt>
                <c:pt idx="109">
                  <c:v>-0.18470607275179213</c:v>
                </c:pt>
                <c:pt idx="110">
                  <c:v>-0.1873211695112218</c:v>
                </c:pt>
                <c:pt idx="111">
                  <c:v>-0.18992524944612527</c:v>
                </c:pt>
                <c:pt idx="112">
                  <c:v>-0.19251834089076397</c:v>
                </c:pt>
                <c:pt idx="113">
                  <c:v>-0.19510047217939952</c:v>
                </c:pt>
                <c:pt idx="114">
                  <c:v>-0.19767167164629329</c:v>
                </c:pt>
                <c:pt idx="115">
                  <c:v>-0.20023196762570694</c:v>
                </c:pt>
                <c:pt idx="116">
                  <c:v>-0.2027813884519018</c:v>
                </c:pt>
                <c:pt idx="117">
                  <c:v>-0.20531996245913958</c:v>
                </c:pt>
                <c:pt idx="118">
                  <c:v>-0.20784771798168167</c:v>
                </c:pt>
                <c:pt idx="119">
                  <c:v>-0.21036468335378961</c:v>
                </c:pt>
                <c:pt idx="120">
                  <c:v>-0.21287088690972489</c:v>
                </c:pt>
                <c:pt idx="121">
                  <c:v>-0.21536635698374901</c:v>
                </c:pt>
                <c:pt idx="122">
                  <c:v>-0.21785112191012357</c:v>
                </c:pt>
                <c:pt idx="123">
                  <c:v>-0.22032521002311006</c:v>
                </c:pt>
                <c:pt idx="124">
                  <c:v>-0.22278864965696982</c:v>
                </c:pt>
                <c:pt idx="125">
                  <c:v>-0.22524146914596466</c:v>
                </c:pt>
                <c:pt idx="126">
                  <c:v>-0.22768369682435574</c:v>
                </c:pt>
                <c:pt idx="127">
                  <c:v>-0.23011536102640495</c:v>
                </c:pt>
                <c:pt idx="128">
                  <c:v>-0.2325364900863735</c:v>
                </c:pt>
                <c:pt idx="129">
                  <c:v>-0.23494711233852295</c:v>
                </c:pt>
                <c:pt idx="130">
                  <c:v>-0.23734725611711505</c:v>
                </c:pt>
                <c:pt idx="131">
                  <c:v>-0.23973694975641091</c:v>
                </c:pt>
                <c:pt idx="132">
                  <c:v>-0.24211622159067248</c:v>
                </c:pt>
                <c:pt idx="133">
                  <c:v>-0.24448509995416096</c:v>
                </c:pt>
                <c:pt idx="134">
                  <c:v>-0.2468436131811379</c:v>
                </c:pt>
                <c:pt idx="135">
                  <c:v>-0.24919178960586497</c:v>
                </c:pt>
                <c:pt idx="136">
                  <c:v>-0.25152965756260348</c:v>
                </c:pt>
                <c:pt idx="137">
                  <c:v>-0.2538572453856151</c:v>
                </c:pt>
                <c:pt idx="138">
                  <c:v>-0.25617458140916127</c:v>
                </c:pt>
                <c:pt idx="139">
                  <c:v>-0.25848169396750348</c:v>
                </c:pt>
                <c:pt idx="140">
                  <c:v>-0.26077861139490344</c:v>
                </c:pt>
                <c:pt idx="141">
                  <c:v>-0.2630653620256222</c:v>
                </c:pt>
                <c:pt idx="142">
                  <c:v>-0.2653419741939218</c:v>
                </c:pt>
                <c:pt idx="143">
                  <c:v>-0.26760847623406336</c:v>
                </c:pt>
                <c:pt idx="144">
                  <c:v>-0.2698648964803087</c:v>
                </c:pt>
                <c:pt idx="145">
                  <c:v>-0.27211126326691909</c:v>
                </c:pt>
                <c:pt idx="146">
                  <c:v>-0.27434760492815613</c:v>
                </c:pt>
                <c:pt idx="147">
                  <c:v>-0.27657394979828137</c:v>
                </c:pt>
                <c:pt idx="148">
                  <c:v>-0.27879032621155619</c:v>
                </c:pt>
                <c:pt idx="149">
                  <c:v>-0.28099676250224237</c:v>
                </c:pt>
                <c:pt idx="150">
                  <c:v>-0.28319328700460106</c:v>
                </c:pt>
                <c:pt idx="151">
                  <c:v>-0.28537992805289403</c:v>
                </c:pt>
                <c:pt idx="152">
                  <c:v>-0.28755671398138272</c:v>
                </c:pt>
                <c:pt idx="153">
                  <c:v>-0.28972367312432862</c:v>
                </c:pt>
                <c:pt idx="154">
                  <c:v>-0.29188083381599339</c:v>
                </c:pt>
                <c:pt idx="155">
                  <c:v>-0.29402822439063819</c:v>
                </c:pt>
                <c:pt idx="156">
                  <c:v>-0.29616587318252491</c:v>
                </c:pt>
                <c:pt idx="157">
                  <c:v>-0.29829380852591481</c:v>
                </c:pt>
                <c:pt idx="158">
                  <c:v>-0.3004120587550696</c:v>
                </c:pt>
                <c:pt idx="159">
                  <c:v>-0.30252065220425062</c:v>
                </c:pt>
                <c:pt idx="160">
                  <c:v>-0.30461961720771946</c:v>
                </c:pt>
                <c:pt idx="161">
                  <c:v>-0.30670898209973763</c:v>
                </c:pt>
                <c:pt idx="162">
                  <c:v>-0.30878877521456649</c:v>
                </c:pt>
                <c:pt idx="163">
                  <c:v>-0.31085902488646783</c:v>
                </c:pt>
                <c:pt idx="164">
                  <c:v>-0.31291975944970296</c:v>
                </c:pt>
                <c:pt idx="165">
                  <c:v>-0.31497100723853355</c:v>
                </c:pt>
                <c:pt idx="166">
                  <c:v>-0.31701279658722104</c:v>
                </c:pt>
                <c:pt idx="167">
                  <c:v>-0.31904515583002668</c:v>
                </c:pt>
                <c:pt idx="168">
                  <c:v>-0.32106811330121243</c:v>
                </c:pt>
                <c:pt idx="169">
                  <c:v>-0.32308169733503944</c:v>
                </c:pt>
                <c:pt idx="170">
                  <c:v>-0.32508593626576954</c:v>
                </c:pt>
                <c:pt idx="171">
                  <c:v>-0.32708085842766399</c:v>
                </c:pt>
                <c:pt idx="172">
                  <c:v>-0.32906649215498429</c:v>
                </c:pt>
                <c:pt idx="173">
                  <c:v>-0.33104286578199216</c:v>
                </c:pt>
                <c:pt idx="174">
                  <c:v>-0.33301000764294886</c:v>
                </c:pt>
                <c:pt idx="175">
                  <c:v>-0.33496794607211633</c:v>
                </c:pt>
                <c:pt idx="176">
                  <c:v>-0.33691670940375551</c:v>
                </c:pt>
                <c:pt idx="177">
                  <c:v>-0.33885632597212823</c:v>
                </c:pt>
                <c:pt idx="178">
                  <c:v>-0.34078682411149586</c:v>
                </c:pt>
                <c:pt idx="179">
                  <c:v>-0.34270823215612023</c:v>
                </c:pt>
                <c:pt idx="180">
                  <c:v>-0.3446205784402625</c:v>
                </c:pt>
                <c:pt idx="181">
                  <c:v>-0.34652389129818428</c:v>
                </c:pt>
                <c:pt idx="182">
                  <c:v>-0.34841819906414739</c:v>
                </c:pt>
                <c:pt idx="183">
                  <c:v>-0.35030353007241277</c:v>
                </c:pt>
                <c:pt idx="184">
                  <c:v>-0.35217991265724224</c:v>
                </c:pt>
                <c:pt idx="185">
                  <c:v>-0.35404737515289741</c:v>
                </c:pt>
                <c:pt idx="186">
                  <c:v>-0.35590594589363966</c:v>
                </c:pt>
                <c:pt idx="187">
                  <c:v>-0.35775565321373037</c:v>
                </c:pt>
                <c:pt idx="188">
                  <c:v>-0.35959652544743137</c:v>
                </c:pt>
                <c:pt idx="189">
                  <c:v>-0.36142859092900392</c:v>
                </c:pt>
                <c:pt idx="190">
                  <c:v>-0.36325187799270964</c:v>
                </c:pt>
                <c:pt idx="191">
                  <c:v>-0.36506641497281012</c:v>
                </c:pt>
                <c:pt idx="192">
                  <c:v>-0.36687223020356663</c:v>
                </c:pt>
                <c:pt idx="193">
                  <c:v>-0.36866935201924067</c:v>
                </c:pt>
                <c:pt idx="194">
                  <c:v>-0.37045780875409418</c:v>
                </c:pt>
                <c:pt idx="195">
                  <c:v>-0.37223762874238819</c:v>
                </c:pt>
                <c:pt idx="196">
                  <c:v>-0.37400884031838444</c:v>
                </c:pt>
                <c:pt idx="197">
                  <c:v>-0.37577147181634463</c:v>
                </c:pt>
                <c:pt idx="198">
                  <c:v>-0.3775255515705298</c:v>
                </c:pt>
                <c:pt idx="199">
                  <c:v>-0.37927110791520169</c:v>
                </c:pt>
                <c:pt idx="200">
                  <c:v>-0.38100816918462199</c:v>
                </c:pt>
                <c:pt idx="201">
                  <c:v>-0.3827367637130521</c:v>
                </c:pt>
                <c:pt idx="202">
                  <c:v>-0.38445691983475339</c:v>
                </c:pt>
                <c:pt idx="203">
                  <c:v>-0.38616866588398746</c:v>
                </c:pt>
                <c:pt idx="204">
                  <c:v>-0.38787203019501582</c:v>
                </c:pt>
                <c:pt idx="205">
                  <c:v>-0.38956704110210005</c:v>
                </c:pt>
                <c:pt idx="206">
                  <c:v>-0.39125372693950156</c:v>
                </c:pt>
                <c:pt idx="207">
                  <c:v>-0.39293211604148182</c:v>
                </c:pt>
                <c:pt idx="208">
                  <c:v>-0.39460223674230244</c:v>
                </c:pt>
                <c:pt idx="209">
                  <c:v>-0.39626411737622502</c:v>
                </c:pt>
                <c:pt idx="210">
                  <c:v>-0.39791778627751095</c:v>
                </c:pt>
                <c:pt idx="211">
                  <c:v>-0.39956327178042161</c:v>
                </c:pt>
                <c:pt idx="212">
                  <c:v>-0.40120060221921883</c:v>
                </c:pt>
                <c:pt idx="213">
                  <c:v>-0.40282980592816398</c:v>
                </c:pt>
                <c:pt idx="214">
                  <c:v>-0.40445091124151833</c:v>
                </c:pt>
                <c:pt idx="215">
                  <c:v>-0.40606394649354371</c:v>
                </c:pt>
                <c:pt idx="216">
                  <c:v>-0.40766894001850162</c:v>
                </c:pt>
                <c:pt idx="217">
                  <c:v>-0.40926592015065333</c:v>
                </c:pt>
                <c:pt idx="218">
                  <c:v>-0.41085491522426065</c:v>
                </c:pt>
                <c:pt idx="219">
                  <c:v>-0.41243595357358476</c:v>
                </c:pt>
                <c:pt idx="220">
                  <c:v>-0.41400906353288736</c:v>
                </c:pt>
                <c:pt idx="221">
                  <c:v>-0.41557427343642994</c:v>
                </c:pt>
                <c:pt idx="222">
                  <c:v>-0.41713161161847434</c:v>
                </c:pt>
                <c:pt idx="223">
                  <c:v>-0.41868110641328138</c:v>
                </c:pt>
                <c:pt idx="224">
                  <c:v>-0.42022278615511299</c:v>
                </c:pt>
                <c:pt idx="225">
                  <c:v>-0.4217566791782309</c:v>
                </c:pt>
                <c:pt idx="226">
                  <c:v>-0.42328281381689614</c:v>
                </c:pt>
                <c:pt idx="227">
                  <c:v>-0.42480121840537033</c:v>
                </c:pt>
                <c:pt idx="228">
                  <c:v>-0.42631192127791528</c:v>
                </c:pt>
                <c:pt idx="229">
                  <c:v>-0.42781495076879217</c:v>
                </c:pt>
                <c:pt idx="230">
                  <c:v>-0.42931033521226269</c:v>
                </c:pt>
                <c:pt idx="231">
                  <c:v>-0.43079810294258836</c:v>
                </c:pt>
                <c:pt idx="232">
                  <c:v>-0.43227828229403065</c:v>
                </c:pt>
                <c:pt idx="233">
                  <c:v>-0.43375090160085106</c:v>
                </c:pt>
                <c:pt idx="234">
                  <c:v>-0.43521598919731108</c:v>
                </c:pt>
                <c:pt idx="235">
                  <c:v>-0.43667357341767221</c:v>
                </c:pt>
                <c:pt idx="236">
                  <c:v>-0.43812368259619594</c:v>
                </c:pt>
                <c:pt idx="237">
                  <c:v>-0.43956634506714398</c:v>
                </c:pt>
                <c:pt idx="238">
                  <c:v>-0.44100158916477772</c:v>
                </c:pt>
                <c:pt idx="239">
                  <c:v>-0.44242944322335853</c:v>
                </c:pt>
                <c:pt idx="240">
                  <c:v>-0.44384993557714802</c:v>
                </c:pt>
                <c:pt idx="241">
                  <c:v>-0.4452630945604078</c:v>
                </c:pt>
                <c:pt idx="242">
                  <c:v>-0.44666894850739924</c:v>
                </c:pt>
                <c:pt idx="243">
                  <c:v>-0.44806752575238395</c:v>
                </c:pt>
                <c:pt idx="244">
                  <c:v>-0.44945885462962354</c:v>
                </c:pt>
                <c:pt idx="245">
                  <c:v>-0.45084296347337927</c:v>
                </c:pt>
                <c:pt idx="246">
                  <c:v>-0.45221988061791263</c:v>
                </c:pt>
                <c:pt idx="247">
                  <c:v>-0.45358963439748534</c:v>
                </c:pt>
                <c:pt idx="248">
                  <c:v>-0.45495225314635901</c:v>
                </c:pt>
                <c:pt idx="249">
                  <c:v>-0.4563077651987949</c:v>
                </c:pt>
                <c:pt idx="250">
                  <c:v>-0.4576561988890544</c:v>
                </c:pt>
                <c:pt idx="251">
                  <c:v>-0.45899758255139933</c:v>
                </c:pt>
                <c:pt idx="252">
                  <c:v>-0.4603319445200913</c:v>
                </c:pt>
                <c:pt idx="253">
                  <c:v>-0.46165931312939146</c:v>
                </c:pt>
                <c:pt idx="254">
                  <c:v>-0.46297971671356164</c:v>
                </c:pt>
                <c:pt idx="255">
                  <c:v>-0.464293183606863</c:v>
                </c:pt>
                <c:pt idx="256">
                  <c:v>-0.46559974214355704</c:v>
                </c:pt>
                <c:pt idx="257">
                  <c:v>-0.46689942065790591</c:v>
                </c:pt>
                <c:pt idx="258">
                  <c:v>-0.46819224748417032</c:v>
                </c:pt>
                <c:pt idx="259">
                  <c:v>-0.46947825095661233</c:v>
                </c:pt>
                <c:pt idx="260">
                  <c:v>-0.47075745940949354</c:v>
                </c:pt>
                <c:pt idx="261">
                  <c:v>-0.47202990117707466</c:v>
                </c:pt>
                <c:pt idx="262">
                  <c:v>-0.47329560459361786</c:v>
                </c:pt>
                <c:pt idx="263">
                  <c:v>-0.47455459799338462</c:v>
                </c:pt>
                <c:pt idx="264">
                  <c:v>-0.47580690971063644</c:v>
                </c:pt>
                <c:pt idx="265">
                  <c:v>-0.47705256807963459</c:v>
                </c:pt>
                <c:pt idx="266">
                  <c:v>-0.47829160143464067</c:v>
                </c:pt>
                <c:pt idx="267">
                  <c:v>-0.47952403810991651</c:v>
                </c:pt>
                <c:pt idx="268">
                  <c:v>-0.48074990643972315</c:v>
                </c:pt>
                <c:pt idx="269">
                  <c:v>-0.48196923475832254</c:v>
                </c:pt>
                <c:pt idx="270">
                  <c:v>-0.48318205139997572</c:v>
                </c:pt>
                <c:pt idx="271">
                  <c:v>-0.48438838469894441</c:v>
                </c:pt>
                <c:pt idx="272">
                  <c:v>-0.48558826298949043</c:v>
                </c:pt>
                <c:pt idx="273">
                  <c:v>-0.48678171460587483</c:v>
                </c:pt>
                <c:pt idx="274">
                  <c:v>-0.48796876788235932</c:v>
                </c:pt>
                <c:pt idx="275">
                  <c:v>-0.48914945115320541</c:v>
                </c:pt>
                <c:pt idx="276">
                  <c:v>-0.49032379275267457</c:v>
                </c:pt>
                <c:pt idx="277">
                  <c:v>-0.49149182101502842</c:v>
                </c:pt>
                <c:pt idx="278">
                  <c:v>-0.49265356427452833</c:v>
                </c:pt>
                <c:pt idx="279">
                  <c:v>-0.49380905086543603</c:v>
                </c:pt>
                <c:pt idx="280">
                  <c:v>-0.49495830912201255</c:v>
                </c:pt>
                <c:pt idx="281">
                  <c:v>-0.49610136737852006</c:v>
                </c:pt>
                <c:pt idx="282">
                  <c:v>-0.49723825396921961</c:v>
                </c:pt>
                <c:pt idx="283">
                  <c:v>-0.49836899722837291</c:v>
                </c:pt>
                <c:pt idx="284">
                  <c:v>-0.49949362549024123</c:v>
                </c:pt>
                <c:pt idx="285">
                  <c:v>-0.50061216708908651</c:v>
                </c:pt>
                <c:pt idx="286">
                  <c:v>-0.50172465035916969</c:v>
                </c:pt>
                <c:pt idx="287">
                  <c:v>-0.50283110363475292</c:v>
                </c:pt>
                <c:pt idx="288">
                  <c:v>-0.50393155525009736</c:v>
                </c:pt>
                <c:pt idx="289">
                  <c:v>-0.50502603353946418</c:v>
                </c:pt>
                <c:pt idx="290">
                  <c:v>-0.50611456683711542</c:v>
                </c:pt>
                <c:pt idx="291">
                  <c:v>-0.50719718347731257</c:v>
                </c:pt>
                <c:pt idx="292">
                  <c:v>-0.50827391179431702</c:v>
                </c:pt>
                <c:pt idx="293">
                  <c:v>-0.50934478012239004</c:v>
                </c:pt>
                <c:pt idx="294">
                  <c:v>-0.51040981679579356</c:v>
                </c:pt>
                <c:pt idx="295">
                  <c:v>-0.51146905014878896</c:v>
                </c:pt>
                <c:pt idx="296">
                  <c:v>-0.51252250851563763</c:v>
                </c:pt>
                <c:pt idx="297">
                  <c:v>-0.51357022023060106</c:v>
                </c:pt>
                <c:pt idx="298">
                  <c:v>-0.51461221362794085</c:v>
                </c:pt>
                <c:pt idx="299">
                  <c:v>-0.5156485170419185</c:v>
                </c:pt>
                <c:pt idx="300">
                  <c:v>-0.51667915880679549</c:v>
                </c:pt>
                <c:pt idx="301">
                  <c:v>-0.51770416725683355</c:v>
                </c:pt>
                <c:pt idx="302">
                  <c:v>-0.51872357072629383</c:v>
                </c:pt>
                <c:pt idx="303">
                  <c:v>-0.51973739754943782</c:v>
                </c:pt>
                <c:pt idx="304">
                  <c:v>-0.52074567606052746</c:v>
                </c:pt>
                <c:pt idx="305">
                  <c:v>-0.52174843459382414</c:v>
                </c:pt>
                <c:pt idx="306">
                  <c:v>-0.52274570148358901</c:v>
                </c:pt>
                <c:pt idx="307">
                  <c:v>-0.52373750506408412</c:v>
                </c:pt>
                <c:pt idx="308">
                  <c:v>-0.5247238736695703</c:v>
                </c:pt>
                <c:pt idx="309">
                  <c:v>-0.52570483563430981</c:v>
                </c:pt>
                <c:pt idx="310">
                  <c:v>-0.52668041929256371</c:v>
                </c:pt>
                <c:pt idx="311">
                  <c:v>-0.52765065297859359</c:v>
                </c:pt>
                <c:pt idx="312">
                  <c:v>-0.52861556502666085</c:v>
                </c:pt>
                <c:pt idx="313">
                  <c:v>-0.52957518377102719</c:v>
                </c:pt>
                <c:pt idx="314">
                  <c:v>-0.53052953754595411</c:v>
                </c:pt>
                <c:pt idx="315">
                  <c:v>-0.5314786546857031</c:v>
                </c:pt>
                <c:pt idx="316">
                  <c:v>-0.53242256352453565</c:v>
                </c:pt>
                <c:pt idx="317">
                  <c:v>-0.53336129239671304</c:v>
                </c:pt>
                <c:pt idx="318">
                  <c:v>-0.53429486963649719</c:v>
                </c:pt>
                <c:pt idx="319">
                  <c:v>-0.5352233235781495</c:v>
                </c:pt>
                <c:pt idx="320">
                  <c:v>-0.53614668255593123</c:v>
                </c:pt>
                <c:pt idx="321">
                  <c:v>-0.53706497490410421</c:v>
                </c:pt>
                <c:pt idx="322">
                  <c:v>-0.5379782289569297</c:v>
                </c:pt>
                <c:pt idx="323">
                  <c:v>-0.53888647304866921</c:v>
                </c:pt>
                <c:pt idx="324">
                  <c:v>-0.53978973551358467</c:v>
                </c:pt>
                <c:pt idx="325">
                  <c:v>-0.54068804468593701</c:v>
                </c:pt>
                <c:pt idx="326">
                  <c:v>-0.54158142889998817</c:v>
                </c:pt>
                <c:pt idx="327">
                  <c:v>-0.54246991648999932</c:v>
                </c:pt>
                <c:pt idx="328">
                  <c:v>-0.54335353579023238</c:v>
                </c:pt>
                <c:pt idx="329">
                  <c:v>-0.54423231513494841</c:v>
                </c:pt>
                <c:pt idx="330">
                  <c:v>-0.54510628285840934</c:v>
                </c:pt>
                <c:pt idx="331">
                  <c:v>-0.54597546729487645</c:v>
                </c:pt>
                <c:pt idx="332">
                  <c:v>-0.54683989677861111</c:v>
                </c:pt>
                <c:pt idx="333">
                  <c:v>-0.54769959964387516</c:v>
                </c:pt>
                <c:pt idx="334">
                  <c:v>-0.54855460422493019</c:v>
                </c:pt>
                <c:pt idx="335">
                  <c:v>-0.54940493885603725</c:v>
                </c:pt>
                <c:pt idx="336">
                  <c:v>-0.55025063187145795</c:v>
                </c:pt>
                <c:pt idx="337">
                  <c:v>-0.551091711605454</c:v>
                </c:pt>
                <c:pt idx="338">
                  <c:v>-0.55192820639228701</c:v>
                </c:pt>
                <c:pt idx="339">
                  <c:v>-0.55276014456621814</c:v>
                </c:pt>
                <c:pt idx="340">
                  <c:v>-0.55358755446150931</c:v>
                </c:pt>
                <c:pt idx="341">
                  <c:v>-0.5544104644124217</c:v>
                </c:pt>
                <c:pt idx="342">
                  <c:v>-0.55522890275321679</c:v>
                </c:pt>
                <c:pt idx="343">
                  <c:v>-0.55604289781815641</c:v>
                </c:pt>
                <c:pt idx="344">
                  <c:v>-0.55685247794150194</c:v>
                </c:pt>
                <c:pt idx="345">
                  <c:v>-0.55765767145751466</c:v>
                </c:pt>
                <c:pt idx="346">
                  <c:v>-0.55845850670045616</c:v>
                </c:pt>
                <c:pt idx="347">
                  <c:v>-0.55925501200458838</c:v>
                </c:pt>
                <c:pt idx="348">
                  <c:v>-0.56004721570417237</c:v>
                </c:pt>
                <c:pt idx="349">
                  <c:v>-0.56083514613346985</c:v>
                </c:pt>
                <c:pt idx="350">
                  <c:v>-0.5616188316267422</c:v>
                </c:pt>
                <c:pt idx="351">
                  <c:v>-0.5623983005182509</c:v>
                </c:pt>
                <c:pt idx="352">
                  <c:v>-0.56317358114225768</c:v>
                </c:pt>
                <c:pt idx="353">
                  <c:v>-0.56394470183302381</c:v>
                </c:pt>
                <c:pt idx="354">
                  <c:v>-0.56471169092481077</c:v>
                </c:pt>
                <c:pt idx="355">
                  <c:v>-0.56547457675188051</c:v>
                </c:pt>
                <c:pt idx="356">
                  <c:v>-0.56623338764849418</c:v>
                </c:pt>
                <c:pt idx="357">
                  <c:v>-0.56698815194891339</c:v>
                </c:pt>
                <c:pt idx="358">
                  <c:v>-0.56773889798739952</c:v>
                </c:pt>
                <c:pt idx="359">
                  <c:v>-0.56848565409821417</c:v>
                </c:pt>
                <c:pt idx="360">
                  <c:v>-0.56922844861561883</c:v>
                </c:pt>
                <c:pt idx="361">
                  <c:v>-0.56996730987387523</c:v>
                </c:pt>
                <c:pt idx="362">
                  <c:v>-0.57070226620724485</c:v>
                </c:pt>
                <c:pt idx="363">
                  <c:v>-0.57143334594998862</c:v>
                </c:pt>
                <c:pt idx="364">
                  <c:v>-0.57216057743636861</c:v>
                </c:pt>
                <c:pt idx="365">
                  <c:v>-0.57288398900064619</c:v>
                </c:pt>
                <c:pt idx="366">
                  <c:v>-0.57360360897708318</c:v>
                </c:pt>
                <c:pt idx="367">
                  <c:v>-0.57431946569994041</c:v>
                </c:pt>
                <c:pt idx="368">
                  <c:v>-0.57503158750347982</c:v>
                </c:pt>
                <c:pt idx="369">
                  <c:v>-0.57574000272196291</c:v>
                </c:pt>
                <c:pt idx="370">
                  <c:v>-0.57644473968965115</c:v>
                </c:pt>
                <c:pt idx="371">
                  <c:v>-0.57714582674080617</c:v>
                </c:pt>
                <c:pt idx="372">
                  <c:v>-0.57784329220968933</c:v>
                </c:pt>
                <c:pt idx="373">
                  <c:v>-0.57853716443056225</c:v>
                </c:pt>
                <c:pt idx="374">
                  <c:v>-0.57922747173768607</c:v>
                </c:pt>
                <c:pt idx="375">
                  <c:v>-0.57991424246532264</c:v>
                </c:pt>
                <c:pt idx="376">
                  <c:v>-0.58059750494773377</c:v>
                </c:pt>
                <c:pt idx="377">
                  <c:v>-0.58127728751918017</c:v>
                </c:pt>
                <c:pt idx="378">
                  <c:v>-0.58195361851392435</c:v>
                </c:pt>
                <c:pt idx="379">
                  <c:v>-0.5826265262662268</c:v>
                </c:pt>
                <c:pt idx="380">
                  <c:v>-0.58329603911034988</c:v>
                </c:pt>
                <c:pt idx="381">
                  <c:v>-0.58396218538055444</c:v>
                </c:pt>
                <c:pt idx="382">
                  <c:v>-0.58462499341110241</c:v>
                </c:pt>
                <c:pt idx="383">
                  <c:v>-0.58528449153625528</c:v>
                </c:pt>
                <c:pt idx="384">
                  <c:v>-0.58594070809027443</c:v>
                </c:pt>
                <c:pt idx="385">
                  <c:v>-0.58659367140742147</c:v>
                </c:pt>
                <c:pt idx="386">
                  <c:v>-0.58724340982195755</c:v>
                </c:pt>
                <c:pt idx="387">
                  <c:v>-0.58788995166814473</c:v>
                </c:pt>
                <c:pt idx="388">
                  <c:v>-0.58853332528024416</c:v>
                </c:pt>
                <c:pt idx="389">
                  <c:v>-0.58917355899251722</c:v>
                </c:pt>
                <c:pt idx="390">
                  <c:v>-0.58981068113922597</c:v>
                </c:pt>
                <c:pt idx="391">
                  <c:v>-0.59044472005463189</c:v>
                </c:pt>
                <c:pt idx="392">
                  <c:v>-0.59107570407299581</c:v>
                </c:pt>
                <c:pt idx="393">
                  <c:v>-0.59170366152857967</c:v>
                </c:pt>
                <c:pt idx="394">
                  <c:v>-0.59232862075564496</c:v>
                </c:pt>
                <c:pt idx="395">
                  <c:v>-0.59295061008845307</c:v>
                </c:pt>
                <c:pt idx="396">
                  <c:v>-0.59356965786126581</c:v>
                </c:pt>
                <c:pt idx="397">
                  <c:v>-0.59418579240834435</c:v>
                </c:pt>
                <c:pt idx="398">
                  <c:v>-0.59479904206395051</c:v>
                </c:pt>
                <c:pt idx="399">
                  <c:v>-0.59540943516234568</c:v>
                </c:pt>
                <c:pt idx="400">
                  <c:v>-0.59601700003779112</c:v>
                </c:pt>
                <c:pt idx="401">
                  <c:v>-0.59662176502454878</c:v>
                </c:pt>
                <c:pt idx="402">
                  <c:v>-0.59722375845687969</c:v>
                </c:pt>
                <c:pt idx="403">
                  <c:v>-0.59782300866904581</c:v>
                </c:pt>
                <c:pt idx="404">
                  <c:v>-0.59841954399530872</c:v>
                </c:pt>
                <c:pt idx="405">
                  <c:v>-0.59901339276992949</c:v>
                </c:pt>
                <c:pt idx="406">
                  <c:v>-0.59960458332716959</c:v>
                </c:pt>
                <c:pt idx="407">
                  <c:v>-0.60019314400129087</c:v>
                </c:pt>
                <c:pt idx="408">
                  <c:v>-0.60077910312655469</c:v>
                </c:pt>
                <c:pt idx="409">
                  <c:v>-0.601362489037223</c:v>
                </c:pt>
                <c:pt idx="410">
                  <c:v>-0.6019433300675564</c:v>
                </c:pt>
                <c:pt idx="411">
                  <c:v>-0.60252165455181705</c:v>
                </c:pt>
                <c:pt idx="412">
                  <c:v>-0.60309749082426645</c:v>
                </c:pt>
                <c:pt idx="413">
                  <c:v>-0.60367086721916585</c:v>
                </c:pt>
                <c:pt idx="414">
                  <c:v>-0.60424181207077676</c:v>
                </c:pt>
                <c:pt idx="415">
                  <c:v>-0.604810353713361</c:v>
                </c:pt>
                <c:pt idx="416">
                  <c:v>-0.60537652048117974</c:v>
                </c:pt>
                <c:pt idx="417">
                  <c:v>-0.60594034070849523</c:v>
                </c:pt>
                <c:pt idx="418">
                  <c:v>-0.60650184272956797</c:v>
                </c:pt>
                <c:pt idx="419">
                  <c:v>-0.6070610548786598</c:v>
                </c:pt>
                <c:pt idx="420">
                  <c:v>-0.60761800549003242</c:v>
                </c:pt>
                <c:pt idx="421">
                  <c:v>-0.60817272289794733</c:v>
                </c:pt>
                <c:pt idx="422">
                  <c:v>-0.60872523543666601</c:v>
                </c:pt>
                <c:pt idx="423">
                  <c:v>-0.60927557144045019</c:v>
                </c:pt>
                <c:pt idx="424">
                  <c:v>-0.6098237592435608</c:v>
                </c:pt>
                <c:pt idx="425">
                  <c:v>-0.61036982718025945</c:v>
                </c:pt>
                <c:pt idx="426">
                  <c:v>-0.6109138035848084</c:v>
                </c:pt>
                <c:pt idx="427">
                  <c:v>-0.61145571679146815</c:v>
                </c:pt>
                <c:pt idx="428">
                  <c:v>-0.61199559513450119</c:v>
                </c:pt>
                <c:pt idx="429">
                  <c:v>-0.61253346694816824</c:v>
                </c:pt>
                <c:pt idx="430">
                  <c:v>-0.61306936056673123</c:v>
                </c:pt>
                <c:pt idx="431">
                  <c:v>-0.61360330432445154</c:v>
                </c:pt>
                <c:pt idx="432">
                  <c:v>-0.61413532655559055</c:v>
                </c:pt>
                <c:pt idx="433">
                  <c:v>-0.61466545559440999</c:v>
                </c:pt>
                <c:pt idx="434">
                  <c:v>-0.61519371977517134</c:v>
                </c:pt>
                <c:pt idx="435">
                  <c:v>-0.61572014743213621</c:v>
                </c:pt>
                <c:pt idx="436">
                  <c:v>-0.61624476689956553</c:v>
                </c:pt>
                <c:pt idx="437">
                  <c:v>-0.61676760651172169</c:v>
                </c:pt>
                <c:pt idx="438">
                  <c:v>-0.61728869460286562</c:v>
                </c:pt>
                <c:pt idx="439">
                  <c:v>-0.61780805950725892</c:v>
                </c:pt>
                <c:pt idx="440">
                  <c:v>-0.6183257295591631</c:v>
                </c:pt>
                <c:pt idx="441">
                  <c:v>-0.61884173309283996</c:v>
                </c:pt>
                <c:pt idx="442">
                  <c:v>-0.61935609844255068</c:v>
                </c:pt>
                <c:pt idx="443">
                  <c:v>-0.61986885394255686</c:v>
                </c:pt>
                <c:pt idx="444">
                  <c:v>-0.62038002792711999</c:v>
                </c:pt>
                <c:pt idx="445">
                  <c:v>-0.62088964873050168</c:v>
                </c:pt>
                <c:pt idx="446">
                  <c:v>-0.62139774468696307</c:v>
                </c:pt>
                <c:pt idx="447">
                  <c:v>-0.62190434413076645</c:v>
                </c:pt>
                <c:pt idx="448">
                  <c:v>-0.62240947539617275</c:v>
                </c:pt>
                <c:pt idx="449">
                  <c:v>-0.62291316681744313</c:v>
                </c:pt>
                <c:pt idx="450">
                  <c:v>-0.62341544672884008</c:v>
                </c:pt>
                <c:pt idx="451">
                  <c:v>-0.6239163434646241</c:v>
                </c:pt>
                <c:pt idx="452">
                  <c:v>-0.6244158853590579</c:v>
                </c:pt>
                <c:pt idx="453">
                  <c:v>-0.62491410074640175</c:v>
                </c:pt>
                <c:pt idx="454">
                  <c:v>-0.62541101796091791</c:v>
                </c:pt>
                <c:pt idx="455">
                  <c:v>-0.62590666533686756</c:v>
                </c:pt>
                <c:pt idx="456">
                  <c:v>-0.62640107120851229</c:v>
                </c:pt>
                <c:pt idx="457">
                  <c:v>-0.62689426391011371</c:v>
                </c:pt>
                <c:pt idx="458">
                  <c:v>-0.6273862717759332</c:v>
                </c:pt>
                <c:pt idx="459">
                  <c:v>-0.62787712314023236</c:v>
                </c:pt>
                <c:pt idx="460">
                  <c:v>-0.62836684633727258</c:v>
                </c:pt>
                <c:pt idx="461">
                  <c:v>-0.62885546970131567</c:v>
                </c:pt>
                <c:pt idx="462">
                  <c:v>-0.62934302156662303</c:v>
                </c:pt>
                <c:pt idx="463">
                  <c:v>-0.62982953026745558</c:v>
                </c:pt>
                <c:pt idx="464">
                  <c:v>-0.63031502413807583</c:v>
                </c:pt>
                <c:pt idx="465">
                  <c:v>-0.63079953151274448</c:v>
                </c:pt>
                <c:pt idx="466">
                  <c:v>-0.63128308072572381</c:v>
                </c:pt>
                <c:pt idx="467">
                  <c:v>-0.63176570011127453</c:v>
                </c:pt>
                <c:pt idx="468">
                  <c:v>-0.63224741800365847</c:v>
                </c:pt>
                <c:pt idx="469">
                  <c:v>-0.63272826273713745</c:v>
                </c:pt>
                <c:pt idx="470">
                  <c:v>-0.63320826264597241</c:v>
                </c:pt>
                <c:pt idx="471">
                  <c:v>-0.63368744606442517</c:v>
                </c:pt>
                <c:pt idx="472">
                  <c:v>-0.63416584132675735</c:v>
                </c:pt>
                <c:pt idx="473">
                  <c:v>-0.63464347676723032</c:v>
                </c:pt>
                <c:pt idx="474">
                  <c:v>-0.63512038072010546</c:v>
                </c:pt>
                <c:pt idx="475">
                  <c:v>-0.6355965815196446</c:v>
                </c:pt>
                <c:pt idx="476">
                  <c:v>-0.6360721075001089</c:v>
                </c:pt>
                <c:pt idx="477">
                  <c:v>-0.63654698699576018</c:v>
                </c:pt>
                <c:pt idx="478">
                  <c:v>-0.63702124834085982</c:v>
                </c:pt>
                <c:pt idx="479">
                  <c:v>-0.63749491986966944</c:v>
                </c:pt>
                <c:pt idx="480">
                  <c:v>-0.63796802991645019</c:v>
                </c:pt>
                <c:pt idx="481">
                  <c:v>-0.63844060681546411</c:v>
                </c:pt>
                <c:pt idx="482">
                  <c:v>-0.63891267890097214</c:v>
                </c:pt>
                <c:pt idx="483">
                  <c:v>-0.63938427450723612</c:v>
                </c:pt>
                <c:pt idx="484">
                  <c:v>-0.63985542196851808</c:v>
                </c:pt>
                <c:pt idx="485">
                  <c:v>-0.64032614961907852</c:v>
                </c:pt>
                <c:pt idx="486">
                  <c:v>-0.64079648579317927</c:v>
                </c:pt>
                <c:pt idx="487">
                  <c:v>-0.64126645882508215</c:v>
                </c:pt>
                <c:pt idx="488">
                  <c:v>-0.64173609704904833</c:v>
                </c:pt>
                <c:pt idx="489">
                  <c:v>-0.64220542879933962</c:v>
                </c:pt>
                <c:pt idx="490">
                  <c:v>-0.64267448241021785</c:v>
                </c:pt>
                <c:pt idx="491">
                  <c:v>-0.64314328621594352</c:v>
                </c:pt>
                <c:pt idx="492">
                  <c:v>-0.64361186855077868</c:v>
                </c:pt>
                <c:pt idx="493">
                  <c:v>-0.64408025774898536</c:v>
                </c:pt>
                <c:pt idx="494">
                  <c:v>-0.64454848214482385</c:v>
                </c:pt>
                <c:pt idx="495">
                  <c:v>-0.64501657007255686</c:v>
                </c:pt>
                <c:pt idx="496">
                  <c:v>-0.64548454986644577</c:v>
                </c:pt>
                <c:pt idx="497">
                  <c:v>-0.64595244986075107</c:v>
                </c:pt>
                <c:pt idx="498">
                  <c:v>-0.64642029838973503</c:v>
                </c:pt>
                <c:pt idx="499">
                  <c:v>-0.6468881237876597</c:v>
                </c:pt>
                <c:pt idx="500">
                  <c:v>-0.64735595438878535</c:v>
                </c:pt>
                <c:pt idx="501">
                  <c:v>-0.64782381852737447</c:v>
                </c:pt>
                <c:pt idx="502">
                  <c:v>-0.64829174453768823</c:v>
                </c:pt>
                <c:pt idx="503">
                  <c:v>-0.64875976075398778</c:v>
                </c:pt>
                <c:pt idx="504">
                  <c:v>-0.64922789551053517</c:v>
                </c:pt>
                <c:pt idx="505">
                  <c:v>-0.64969617714159156</c:v>
                </c:pt>
                <c:pt idx="506">
                  <c:v>-0.65016463398141944</c:v>
                </c:pt>
                <c:pt idx="507">
                  <c:v>-0.65063329436427864</c:v>
                </c:pt>
                <c:pt idx="508">
                  <c:v>-0.65110218662443164</c:v>
                </c:pt>
                <c:pt idx="509">
                  <c:v>-0.65157133909614029</c:v>
                </c:pt>
                <c:pt idx="510">
                  <c:v>-0.65204078011366506</c:v>
                </c:pt>
                <c:pt idx="511">
                  <c:v>-0.65251053801126868</c:v>
                </c:pt>
                <c:pt idx="512">
                  <c:v>-0.65298064112321141</c:v>
                </c:pt>
                <c:pt idx="513">
                  <c:v>-0.65345111778375597</c:v>
                </c:pt>
                <c:pt idx="514">
                  <c:v>-0.65392199632716286</c:v>
                </c:pt>
                <c:pt idx="515">
                  <c:v>-0.65439330508769389</c:v>
                </c:pt>
                <c:pt idx="516">
                  <c:v>-0.65486507239961111</c:v>
                </c:pt>
                <c:pt idx="517">
                  <c:v>-0.6553373265971757</c:v>
                </c:pt>
                <c:pt idx="518">
                  <c:v>-0.65581009601464879</c:v>
                </c:pt>
                <c:pt idx="519">
                  <c:v>-0.65628340898629245</c:v>
                </c:pt>
                <c:pt idx="520">
                  <c:v>-0.65675729384636783</c:v>
                </c:pt>
                <c:pt idx="521">
                  <c:v>-0.65723177892913653</c:v>
                </c:pt>
                <c:pt idx="522">
                  <c:v>-0.65770689256886017</c:v>
                </c:pt>
                <c:pt idx="523">
                  <c:v>-0.65818266309979967</c:v>
                </c:pt>
                <c:pt idx="524">
                  <c:v>-0.65865911885621775</c:v>
                </c:pt>
                <c:pt idx="525">
                  <c:v>-0.65913628817237491</c:v>
                </c:pt>
                <c:pt idx="526">
                  <c:v>-0.65961419938253318</c:v>
                </c:pt>
                <c:pt idx="527">
                  <c:v>-0.66009288082095352</c:v>
                </c:pt>
                <c:pt idx="528">
                  <c:v>-0.66057236082189774</c:v>
                </c:pt>
                <c:pt idx="529">
                  <c:v>-0.66105266771962767</c:v>
                </c:pt>
                <c:pt idx="530">
                  <c:v>-0.66153382984840403</c:v>
                </c:pt>
                <c:pt idx="531">
                  <c:v>-0.66201587554248975</c:v>
                </c:pt>
                <c:pt idx="532">
                  <c:v>-0.66249883313614444</c:v>
                </c:pt>
                <c:pt idx="533">
                  <c:v>-0.66298273096363125</c:v>
                </c:pt>
                <c:pt idx="534">
                  <c:v>-0.66346759735921113</c:v>
                </c:pt>
                <c:pt idx="535">
                  <c:v>-0.66395346065714522</c:v>
                </c:pt>
                <c:pt idx="536">
                  <c:v>-0.66444034919169581</c:v>
                </c:pt>
                <c:pt idx="537">
                  <c:v>-0.66492829129712316</c:v>
                </c:pt>
                <c:pt idx="538">
                  <c:v>-0.66541731530768977</c:v>
                </c:pt>
                <c:pt idx="539">
                  <c:v>-0.66590744955765746</c:v>
                </c:pt>
                <c:pt idx="540">
                  <c:v>-0.66639872238128628</c:v>
                </c:pt>
                <c:pt idx="541">
                  <c:v>-0.66689116211283894</c:v>
                </c:pt>
                <c:pt idx="542">
                  <c:v>-0.66738479708657705</c:v>
                </c:pt>
                <c:pt idx="543">
                  <c:v>-0.66787965563676155</c:v>
                </c:pt>
                <c:pt idx="544">
                  <c:v>-0.66837576609765426</c:v>
                </c:pt>
                <c:pt idx="545">
                  <c:v>-0.66887315680351633</c:v>
                </c:pt>
                <c:pt idx="546">
                  <c:v>-0.66937185608860961</c:v>
                </c:pt>
                <c:pt idx="547">
                  <c:v>-0.66987189228719612</c:v>
                </c:pt>
                <c:pt idx="548">
                  <c:v>-0.67037329373353594</c:v>
                </c:pt>
                <c:pt idx="549">
                  <c:v>-0.67087608876189198</c:v>
                </c:pt>
                <c:pt idx="550">
                  <c:v>-0.67138030570652496</c:v>
                </c:pt>
                <c:pt idx="551">
                  <c:v>-0.67188597290169605</c:v>
                </c:pt>
                <c:pt idx="552">
                  <c:v>-0.67239311868166796</c:v>
                </c:pt>
                <c:pt idx="553">
                  <c:v>-0.6729017713807014</c:v>
                </c:pt>
                <c:pt idx="554">
                  <c:v>-0.67341195933305842</c:v>
                </c:pt>
                <c:pt idx="555">
                  <c:v>-0.67392371087299974</c:v>
                </c:pt>
                <c:pt idx="556">
                  <c:v>-0.6744370543347874</c:v>
                </c:pt>
                <c:pt idx="557">
                  <c:v>-0.67495201805268301</c:v>
                </c:pt>
                <c:pt idx="558">
                  <c:v>-0.67546863036094729</c:v>
                </c:pt>
                <c:pt idx="559">
                  <c:v>-0.67598691959384316</c:v>
                </c:pt>
                <c:pt idx="560">
                  <c:v>-0.67650691408563091</c:v>
                </c:pt>
                <c:pt idx="561">
                  <c:v>-0.67702864217057213</c:v>
                </c:pt>
                <c:pt idx="562">
                  <c:v>-0.67755213218292909</c:v>
                </c:pt>
                <c:pt idx="563">
                  <c:v>-0.67807741245696251</c:v>
                </c:pt>
                <c:pt idx="564">
                  <c:v>-0.67860451132693467</c:v>
                </c:pt>
                <c:pt idx="565">
                  <c:v>-0.67913345712710649</c:v>
                </c:pt>
                <c:pt idx="566">
                  <c:v>-0.67966427819173914</c:v>
                </c:pt>
                <c:pt idx="567">
                  <c:v>-0.68019700285509532</c:v>
                </c:pt>
                <c:pt idx="568">
                  <c:v>-0.68073165945143577</c:v>
                </c:pt>
                <c:pt idx="569">
                  <c:v>-0.68126827631502207</c:v>
                </c:pt>
                <c:pt idx="570">
                  <c:v>-0.68180688178011539</c:v>
                </c:pt>
                <c:pt idx="571">
                  <c:v>-0.68234750418097778</c:v>
                </c:pt>
                <c:pt idx="572">
                  <c:v>-0.68289017185187084</c:v>
                </c:pt>
                <c:pt idx="573">
                  <c:v>-0.68343491312705573</c:v>
                </c:pt>
                <c:pt idx="574">
                  <c:v>-0.68398175634079428</c:v>
                </c:pt>
                <c:pt idx="575">
                  <c:v>-0.68453072982734742</c:v>
                </c:pt>
                <c:pt idx="576">
                  <c:v>-0.68508186192097698</c:v>
                </c:pt>
                <c:pt idx="577">
                  <c:v>-0.68563518095594478</c:v>
                </c:pt>
                <c:pt idx="578">
                  <c:v>-0.68619071526651132</c:v>
                </c:pt>
                <c:pt idx="579">
                  <c:v>-0.68674849318693998</c:v>
                </c:pt>
                <c:pt idx="580">
                  <c:v>-0.68730854305149036</c:v>
                </c:pt>
                <c:pt idx="581">
                  <c:v>-0.68787089319442518</c:v>
                </c:pt>
                <c:pt idx="582">
                  <c:v>-0.68843557195000493</c:v>
                </c:pt>
                <c:pt idx="583">
                  <c:v>-0.68900260765249211</c:v>
                </c:pt>
                <c:pt idx="584">
                  <c:v>-0.68957202863614764</c:v>
                </c:pt>
                <c:pt idx="585">
                  <c:v>-0.6901438632352338</c:v>
                </c:pt>
                <c:pt idx="586">
                  <c:v>-0.69071813978401086</c:v>
                </c:pt>
                <c:pt idx="587">
                  <c:v>-0.69129488661674132</c:v>
                </c:pt>
                <c:pt idx="588">
                  <c:v>-0.69187413206768678</c:v>
                </c:pt>
                <c:pt idx="589">
                  <c:v>-0.6924559044711075</c:v>
                </c:pt>
                <c:pt idx="590">
                  <c:v>-0.69304023216126642</c:v>
                </c:pt>
                <c:pt idx="591">
                  <c:v>-0.69362714347242382</c:v>
                </c:pt>
                <c:pt idx="592">
                  <c:v>-0.69421666673884286</c:v>
                </c:pt>
                <c:pt idx="593">
                  <c:v>-0.69480883029478335</c:v>
                </c:pt>
                <c:pt idx="594">
                  <c:v>-0.69540366247450736</c:v>
                </c:pt>
                <c:pt idx="595">
                  <c:v>-0.69600119161227691</c:v>
                </c:pt>
                <c:pt idx="596">
                  <c:v>-0.69660144604235297</c:v>
                </c:pt>
                <c:pt idx="597">
                  <c:v>-0.69720445409899778</c:v>
                </c:pt>
                <c:pt idx="598">
                  <c:v>-0.69781024411647163</c:v>
                </c:pt>
                <c:pt idx="599">
                  <c:v>-0.69841884442903679</c:v>
                </c:pt>
                <c:pt idx="600">
                  <c:v>-0.69903028337095485</c:v>
                </c:pt>
                <c:pt idx="601">
                  <c:v>-0.69964458927648676</c:v>
                </c:pt>
                <c:pt idx="602">
                  <c:v>-0.70026179047989434</c:v>
                </c:pt>
                <c:pt idx="603">
                  <c:v>-0.70088191531544008</c:v>
                </c:pt>
                <c:pt idx="604">
                  <c:v>-0.70150499211738382</c:v>
                </c:pt>
                <c:pt idx="605">
                  <c:v>-0.70213104921998848</c:v>
                </c:pt>
                <c:pt idx="606">
                  <c:v>-0.70276011495751434</c:v>
                </c:pt>
                <c:pt idx="607">
                  <c:v>-0.70339221766422344</c:v>
                </c:pt>
                <c:pt idx="608">
                  <c:v>-0.70402738567437761</c:v>
                </c:pt>
                <c:pt idx="609">
                  <c:v>-0.7046656473222378</c:v>
                </c:pt>
                <c:pt idx="610">
                  <c:v>-0.7053070309420667</c:v>
                </c:pt>
                <c:pt idx="611">
                  <c:v>-0.70595156486812394</c:v>
                </c:pt>
                <c:pt idx="612">
                  <c:v>-0.70659927743467288</c:v>
                </c:pt>
                <c:pt idx="613">
                  <c:v>-0.70725019697597336</c:v>
                </c:pt>
                <c:pt idx="614">
                  <c:v>-0.70790435182628808</c:v>
                </c:pt>
                <c:pt idx="615">
                  <c:v>-0.70856177031987844</c:v>
                </c:pt>
                <c:pt idx="616">
                  <c:v>-0.70922248079100536</c:v>
                </c:pt>
                <c:pt idx="617">
                  <c:v>-0.7098865115739309</c:v>
                </c:pt>
                <c:pt idx="618">
                  <c:v>-0.71055389100291644</c:v>
                </c:pt>
                <c:pt idx="619">
                  <c:v>-0.71122464741222291</c:v>
                </c:pt>
                <c:pt idx="620">
                  <c:v>-0.71189880913611303</c:v>
                </c:pt>
                <c:pt idx="621">
                  <c:v>-0.71257640450884729</c:v>
                </c:pt>
                <c:pt idx="622">
                  <c:v>-0.71325746186468753</c:v>
                </c:pt>
                <c:pt idx="623">
                  <c:v>-0.71394200953789511</c:v>
                </c:pt>
                <c:pt idx="624">
                  <c:v>-0.71463007586273164</c:v>
                </c:pt>
                <c:pt idx="625">
                  <c:v>-0.71532168917345895</c:v>
                </c:pt>
                <c:pt idx="626">
                  <c:v>-0.7160168778043382</c:v>
                </c:pt>
                <c:pt idx="627">
                  <c:v>-0.716715670089631</c:v>
                </c:pt>
                <c:pt idx="628">
                  <c:v>-0.71741809436359893</c:v>
                </c:pt>
                <c:pt idx="629">
                  <c:v>-0.71812417896050296</c:v>
                </c:pt>
                <c:pt idx="630">
                  <c:v>-0.71883395221460533</c:v>
                </c:pt>
                <c:pt idx="631">
                  <c:v>-0.71954744246016678</c:v>
                </c:pt>
                <c:pt idx="632">
                  <c:v>-0.72026467803145022</c:v>
                </c:pt>
                <c:pt idx="633">
                  <c:v>-0.72098568726271595</c:v>
                </c:pt>
                <c:pt idx="634">
                  <c:v>-0.72171049848822533</c:v>
                </c:pt>
                <c:pt idx="635">
                  <c:v>-0.7224391400422413</c:v>
                </c:pt>
                <c:pt idx="636">
                  <c:v>-0.7231716402590237</c:v>
                </c:pt>
                <c:pt idx="637">
                  <c:v>-0.72390802747283411</c:v>
                </c:pt>
                <c:pt idx="638">
                  <c:v>-0.72464833001793594</c:v>
                </c:pt>
                <c:pt idx="639">
                  <c:v>-0.72539257622858855</c:v>
                </c:pt>
                <c:pt idx="640">
                  <c:v>-0.72614079443905488</c:v>
                </c:pt>
                <c:pt idx="641">
                  <c:v>-0.72689301298359565</c:v>
                </c:pt>
                <c:pt idx="642">
                  <c:v>-0.72764926019647247</c:v>
                </c:pt>
                <c:pt idx="643">
                  <c:v>-0.72840956441194693</c:v>
                </c:pt>
                <c:pt idx="644">
                  <c:v>-0.72917395396428086</c:v>
                </c:pt>
                <c:pt idx="645">
                  <c:v>-0.72994245718773521</c:v>
                </c:pt>
                <c:pt idx="646">
                  <c:v>-0.73071510241657223</c:v>
                </c:pt>
                <c:pt idx="647">
                  <c:v>-0.73149191798505264</c:v>
                </c:pt>
                <c:pt idx="648">
                  <c:v>-0.73227293222743872</c:v>
                </c:pt>
                <c:pt idx="649">
                  <c:v>-0.7330581734779914</c:v>
                </c:pt>
                <c:pt idx="650">
                  <c:v>-0.73384767007097251</c:v>
                </c:pt>
                <c:pt idx="651">
                  <c:v>-0.73464145034064299</c:v>
                </c:pt>
                <c:pt idx="652">
                  <c:v>-0.73543954262126465</c:v>
                </c:pt>
                <c:pt idx="653">
                  <c:v>-0.73624197524709978</c:v>
                </c:pt>
                <c:pt idx="654">
                  <c:v>-0.73704877655240886</c:v>
                </c:pt>
                <c:pt idx="655">
                  <c:v>-0.73785997487145394</c:v>
                </c:pt>
                <c:pt idx="656">
                  <c:v>-0.7386755985384964</c:v>
                </c:pt>
                <c:pt idx="657">
                  <c:v>-0.73949567588779719</c:v>
                </c:pt>
                <c:pt idx="658">
                  <c:v>-0.74032023525361901</c:v>
                </c:pt>
                <c:pt idx="659">
                  <c:v>-0.74114930497022213</c:v>
                </c:pt>
                <c:pt idx="660">
                  <c:v>-0.7419829133718695</c:v>
                </c:pt>
                <c:pt idx="661">
                  <c:v>-0.74282108879282138</c:v>
                </c:pt>
                <c:pt idx="662">
                  <c:v>-0.74366385956733916</c:v>
                </c:pt>
                <c:pt idx="663">
                  <c:v>-0.74451125402968554</c:v>
                </c:pt>
                <c:pt idx="664">
                  <c:v>-0.74536330051412059</c:v>
                </c:pt>
                <c:pt idx="665">
                  <c:v>-0.746220027354907</c:v>
                </c:pt>
                <c:pt idx="666">
                  <c:v>-0.74708146288630595</c:v>
                </c:pt>
                <c:pt idx="667">
                  <c:v>-0.74794763544257925</c:v>
                </c:pt>
                <c:pt idx="668">
                  <c:v>-0.74881857335798763</c:v>
                </c:pt>
                <c:pt idx="669">
                  <c:v>-0.7496943049667929</c:v>
                </c:pt>
                <c:pt idx="670">
                  <c:v>-0.75057485860325668</c:v>
                </c:pt>
                <c:pt idx="671">
                  <c:v>-0.75146026260164078</c:v>
                </c:pt>
                <c:pt idx="672">
                  <c:v>-0.75235054529620593</c:v>
                </c:pt>
                <c:pt idx="673">
                  <c:v>-0.75324573502121484</c:v>
                </c:pt>
                <c:pt idx="674">
                  <c:v>-0.75414586011092755</c:v>
                </c:pt>
                <c:pt idx="675">
                  <c:v>-0.755050948899607</c:v>
                </c:pt>
                <c:pt idx="676">
                  <c:v>-0.75596102972151347</c:v>
                </c:pt>
                <c:pt idx="677">
                  <c:v>-0.756876130910909</c:v>
                </c:pt>
                <c:pt idx="678">
                  <c:v>-0.75779628080205608</c:v>
                </c:pt>
                <c:pt idx="679">
                  <c:v>-0.7587215077292141</c:v>
                </c:pt>
                <c:pt idx="680">
                  <c:v>-0.75965184002664621</c:v>
                </c:pt>
                <c:pt idx="681">
                  <c:v>-0.76058730602861357</c:v>
                </c:pt>
                <c:pt idx="682">
                  <c:v>-0.76152793406937713</c:v>
                </c:pt>
                <c:pt idx="683">
                  <c:v>-0.7624737524831996</c:v>
                </c:pt>
                <c:pt idx="684">
                  <c:v>-0.76342478960434079</c:v>
                </c:pt>
                <c:pt idx="685">
                  <c:v>-0.76438107376706388</c:v>
                </c:pt>
                <c:pt idx="686">
                  <c:v>-0.76534263330562957</c:v>
                </c:pt>
                <c:pt idx="687">
                  <c:v>-0.76630949655429881</c:v>
                </c:pt>
                <c:pt idx="688">
                  <c:v>-0.76728169184733408</c:v>
                </c:pt>
                <c:pt idx="689">
                  <c:v>-0.76825924751899699</c:v>
                </c:pt>
                <c:pt idx="690">
                  <c:v>-0.76924219190354848</c:v>
                </c:pt>
                <c:pt idx="691">
                  <c:v>-0.77023055333525015</c:v>
                </c:pt>
                <c:pt idx="692">
                  <c:v>-0.77122436014836337</c:v>
                </c:pt>
                <c:pt idx="693">
                  <c:v>-0.77222364067714977</c:v>
                </c:pt>
                <c:pt idx="694">
                  <c:v>-0.7732284232558716</c:v>
                </c:pt>
                <c:pt idx="695">
                  <c:v>-0.77423873621878869</c:v>
                </c:pt>
                <c:pt idx="696">
                  <c:v>-0.77525460790016465</c:v>
                </c:pt>
                <c:pt idx="697">
                  <c:v>-0.77627606663425952</c:v>
                </c:pt>
                <c:pt idx="698">
                  <c:v>-0.77730314075533513</c:v>
                </c:pt>
                <c:pt idx="699">
                  <c:v>-0.77833585859765309</c:v>
                </c:pt>
                <c:pt idx="700">
                  <c:v>-0.77937424849547476</c:v>
                </c:pt>
                <c:pt idx="701">
                  <c:v>-0.78041833878306199</c:v>
                </c:pt>
                <c:pt idx="702">
                  <c:v>-0.78146815779467615</c:v>
                </c:pt>
                <c:pt idx="703">
                  <c:v>-0.78252373386457841</c:v>
                </c:pt>
                <c:pt idx="704">
                  <c:v>-0.78358509532703058</c:v>
                </c:pt>
                <c:pt idx="705">
                  <c:v>-0.78465227051629449</c:v>
                </c:pt>
                <c:pt idx="706">
                  <c:v>-0.78572528776663109</c:v>
                </c:pt>
                <c:pt idx="707">
                  <c:v>-0.78680417541230196</c:v>
                </c:pt>
                <c:pt idx="708">
                  <c:v>-0.78788896178756895</c:v>
                </c:pt>
                <c:pt idx="709">
                  <c:v>-0.78897967522669321</c:v>
                </c:pt>
                <c:pt idx="710">
                  <c:v>-0.79007634406393612</c:v>
                </c:pt>
                <c:pt idx="711">
                  <c:v>-0.79117899663356017</c:v>
                </c:pt>
                <c:pt idx="712">
                  <c:v>-0.79228766126982542</c:v>
                </c:pt>
                <c:pt idx="713">
                  <c:v>-0.79340236630699457</c:v>
                </c:pt>
                <c:pt idx="714">
                  <c:v>-0.79452314007932878</c:v>
                </c:pt>
                <c:pt idx="715">
                  <c:v>-0.79565001092108989</c:v>
                </c:pt>
                <c:pt idx="716">
                  <c:v>-0.79678300716653905</c:v>
                </c:pt>
                <c:pt idx="717">
                  <c:v>-0.79792215714993675</c:v>
                </c:pt>
                <c:pt idx="718">
                  <c:v>-0.7990674892055466</c:v>
                </c:pt>
                <c:pt idx="719">
                  <c:v>-0.80021903166762864</c:v>
                </c:pt>
                <c:pt idx="720">
                  <c:v>-0.80137681287044427</c:v>
                </c:pt>
                <c:pt idx="721">
                  <c:v>-0.80254086114825574</c:v>
                </c:pt>
                <c:pt idx="722">
                  <c:v>-0.80371120483532466</c:v>
                </c:pt>
                <c:pt idx="723">
                  <c:v>-0.80488787226591174</c:v>
                </c:pt>
                <c:pt idx="724">
                  <c:v>-0.80607089177427904</c:v>
                </c:pt>
                <c:pt idx="725">
                  <c:v>-0.80726029169468816</c:v>
                </c:pt>
                <c:pt idx="726">
                  <c:v>-0.80845610036140025</c:v>
                </c:pt>
                <c:pt idx="727">
                  <c:v>-0.80965834610867715</c:v>
                </c:pt>
                <c:pt idx="728">
                  <c:v>-0.81086705727077912</c:v>
                </c:pt>
                <c:pt idx="729">
                  <c:v>-0.81208226218196999</c:v>
                </c:pt>
                <c:pt idx="730">
                  <c:v>-0.81330398917651048</c:v>
                </c:pt>
                <c:pt idx="731">
                  <c:v>-0.81453226658866085</c:v>
                </c:pt>
                <c:pt idx="732">
                  <c:v>-0.81576712275268337</c:v>
                </c:pt>
                <c:pt idx="733">
                  <c:v>-0.81700858600283943</c:v>
                </c:pt>
                <c:pt idx="734">
                  <c:v>-0.81825668467339108</c:v>
                </c:pt>
                <c:pt idx="735">
                  <c:v>-0.81951144709859947</c:v>
                </c:pt>
                <c:pt idx="736">
                  <c:v>-0.82077290161272576</c:v>
                </c:pt>
                <c:pt idx="737">
                  <c:v>-0.82204107655003178</c:v>
                </c:pt>
                <c:pt idx="738">
                  <c:v>-0.82331600024477936</c:v>
                </c:pt>
                <c:pt idx="739">
                  <c:v>-0.82459770103122965</c:v>
                </c:pt>
                <c:pt idx="740">
                  <c:v>-0.82588620724364448</c:v>
                </c:pt>
                <c:pt idx="741">
                  <c:v>-0.82718154721628523</c:v>
                </c:pt>
                <c:pt idx="742">
                  <c:v>-0.8284837492834124</c:v>
                </c:pt>
                <c:pt idx="743">
                  <c:v>-0.82979284177928958</c:v>
                </c:pt>
                <c:pt idx="744">
                  <c:v>-0.83110885303817639</c:v>
                </c:pt>
                <c:pt idx="745">
                  <c:v>-0.83243181139433486</c:v>
                </c:pt>
                <c:pt idx="746">
                  <c:v>-0.83376174518202706</c:v>
                </c:pt>
                <c:pt idx="747">
                  <c:v>-0.83509868273551413</c:v>
                </c:pt>
                <c:pt idx="748">
                  <c:v>-0.83644265238905724</c:v>
                </c:pt>
                <c:pt idx="749">
                  <c:v>-0.83779368247691888</c:v>
                </c:pt>
                <c:pt idx="750">
                  <c:v>-0.83915180133335887</c:v>
                </c:pt>
                <c:pt idx="751">
                  <c:v>-0.84051703729264016</c:v>
                </c:pt>
                <c:pt idx="752">
                  <c:v>-0.84188941868902389</c:v>
                </c:pt>
                <c:pt idx="753">
                  <c:v>-0.84326897385677213</c:v>
                </c:pt>
                <c:pt idx="754">
                  <c:v>-0.84465573113014647</c:v>
                </c:pt>
                <c:pt idx="755">
                  <c:v>-0.84604971884340541</c:v>
                </c:pt>
                <c:pt idx="756">
                  <c:v>-0.84745096533081454</c:v>
                </c:pt>
                <c:pt idx="757">
                  <c:v>-0.8488594989266337</c:v>
                </c:pt>
                <c:pt idx="758">
                  <c:v>-0.85027534796512361</c:v>
                </c:pt>
                <c:pt idx="759">
                  <c:v>-0.8516985407805463</c:v>
                </c:pt>
                <c:pt idx="760">
                  <c:v>-0.85312910570716516</c:v>
                </c:pt>
                <c:pt idx="761">
                  <c:v>-0.85456707107923824</c:v>
                </c:pt>
                <c:pt idx="762">
                  <c:v>-0.85601246523102936</c:v>
                </c:pt>
                <c:pt idx="763">
                  <c:v>-0.85746531649680013</c:v>
                </c:pt>
                <c:pt idx="764">
                  <c:v>-0.85892565321081127</c:v>
                </c:pt>
                <c:pt idx="765">
                  <c:v>-0.86039350370732437</c:v>
                </c:pt>
                <c:pt idx="766">
                  <c:v>-0.8618688963206006</c:v>
                </c:pt>
                <c:pt idx="767">
                  <c:v>-0.863351859384902</c:v>
                </c:pt>
                <c:pt idx="768">
                  <c:v>-0.86484242123449062</c:v>
                </c:pt>
                <c:pt idx="769">
                  <c:v>-0.86634061020362674</c:v>
                </c:pt>
                <c:pt idx="770">
                  <c:v>-0.86784645462657284</c:v>
                </c:pt>
                <c:pt idx="771">
                  <c:v>-0.86935998283759053</c:v>
                </c:pt>
                <c:pt idx="772">
                  <c:v>-0.87088122317094008</c:v>
                </c:pt>
                <c:pt idx="773">
                  <c:v>-0.87241020396088353</c:v>
                </c:pt>
                <c:pt idx="774">
                  <c:v>-0.87394695354168295</c:v>
                </c:pt>
                <c:pt idx="775">
                  <c:v>-0.87549150024759903</c:v>
                </c:pt>
                <c:pt idx="776">
                  <c:v>-0.87704387241289516</c:v>
                </c:pt>
                <c:pt idx="777">
                  <c:v>-0.87860409837183029</c:v>
                </c:pt>
                <c:pt idx="778">
                  <c:v>-0.88017220645866778</c:v>
                </c:pt>
                <c:pt idx="779">
                  <c:v>-0.88174822500766881</c:v>
                </c:pt>
                <c:pt idx="780">
                  <c:v>-0.88333218235309363</c:v>
                </c:pt>
                <c:pt idx="781">
                  <c:v>-0.88492410682920564</c:v>
                </c:pt>
                <c:pt idx="782">
                  <c:v>-0.88652402677026554</c:v>
                </c:pt>
                <c:pt idx="783">
                  <c:v>-0.88813197051053361</c:v>
                </c:pt>
                <c:pt idx="784">
                  <c:v>-0.88974796638427278</c:v>
                </c:pt>
                <c:pt idx="785">
                  <c:v>-0.89137204272574466</c:v>
                </c:pt>
                <c:pt idx="786">
                  <c:v>-0.89300422786920952</c:v>
                </c:pt>
                <c:pt idx="787">
                  <c:v>-0.89464455014893074</c:v>
                </c:pt>
                <c:pt idx="788">
                  <c:v>-0.89629303789916814</c:v>
                </c:pt>
                <c:pt idx="789">
                  <c:v>-0.89794971945418467</c:v>
                </c:pt>
                <c:pt idx="790">
                  <c:v>-0.8996146231482397</c:v>
                </c:pt>
                <c:pt idx="791">
                  <c:v>-0.90128777731559795</c:v>
                </c:pt>
                <c:pt idx="792">
                  <c:v>-0.90296921029051791</c:v>
                </c:pt>
                <c:pt idx="793">
                  <c:v>-0.90465895040726163</c:v>
                </c:pt>
                <c:pt idx="794">
                  <c:v>-0.90635702600009205</c:v>
                </c:pt>
                <c:pt idx="795">
                  <c:v>-0.90806346540326943</c:v>
                </c:pt>
                <c:pt idx="796">
                  <c:v>-0.90977829695105628</c:v>
                </c:pt>
                <c:pt idx="797">
                  <c:v>-0.91150154897771329</c:v>
                </c:pt>
                <c:pt idx="798">
                  <c:v>-0.91323324981750209</c:v>
                </c:pt>
                <c:pt idx="799">
                  <c:v>-0.91497342780468516</c:v>
                </c:pt>
                <c:pt idx="800">
                  <c:v>-0.91672211127352232</c:v>
                </c:pt>
                <c:pt idx="801">
                  <c:v>-0.91847932855827563</c:v>
                </c:pt>
                <c:pt idx="802">
                  <c:v>-0.92024510799320802</c:v>
                </c:pt>
                <c:pt idx="803">
                  <c:v>-0.92201947791257932</c:v>
                </c:pt>
                <c:pt idx="804">
                  <c:v>-0.92380246665065158</c:v>
                </c:pt>
                <c:pt idx="805">
                  <c:v>-0.92559410254168639</c:v>
                </c:pt>
                <c:pt idx="806">
                  <c:v>-0.92739441391994581</c:v>
                </c:pt>
                <c:pt idx="807">
                  <c:v>-0.92920342911968967</c:v>
                </c:pt>
                <c:pt idx="808">
                  <c:v>-0.9310211764751809</c:v>
                </c:pt>
                <c:pt idx="809">
                  <c:v>-0.93284768432068155</c:v>
                </c:pt>
                <c:pt idx="810">
                  <c:v>-0.93468298099045144</c:v>
                </c:pt>
                <c:pt idx="811">
                  <c:v>-0.93652709481875351</c:v>
                </c:pt>
                <c:pt idx="812">
                  <c:v>-0.9383800541398476</c:v>
                </c:pt>
                <c:pt idx="813">
                  <c:v>-0.94024188728799662</c:v>
                </c:pt>
                <c:pt idx="814">
                  <c:v>-0.94211262259746265</c:v>
                </c:pt>
                <c:pt idx="815">
                  <c:v>-0.94399228840250637</c:v>
                </c:pt>
                <c:pt idx="816">
                  <c:v>-0.94588091303738719</c:v>
                </c:pt>
                <c:pt idx="817">
                  <c:v>-0.94777852483637115</c:v>
                </c:pt>
                <c:pt idx="818">
                  <c:v>-0.9496851521337154</c:v>
                </c:pt>
                <c:pt idx="819">
                  <c:v>-0.95160082326368467</c:v>
                </c:pt>
                <c:pt idx="820">
                  <c:v>-0.95352556656053922</c:v>
                </c:pt>
                <c:pt idx="821">
                  <c:v>-0.95545941035853887</c:v>
                </c:pt>
                <c:pt idx="822">
                  <c:v>-0.95740238299194746</c:v>
                </c:pt>
                <c:pt idx="823">
                  <c:v>-0.95935451279502615</c:v>
                </c:pt>
                <c:pt idx="824">
                  <c:v>-0.96131582810203609</c:v>
                </c:pt>
                <c:pt idx="825">
                  <c:v>-0.96328635724723888</c:v>
                </c:pt>
                <c:pt idx="826">
                  <c:v>-0.96526612856489524</c:v>
                </c:pt>
                <c:pt idx="827">
                  <c:v>-0.96725517038926812</c:v>
                </c:pt>
                <c:pt idx="828">
                  <c:v>-0.96925351105461732</c:v>
                </c:pt>
                <c:pt idx="829">
                  <c:v>-0.97126117889520669</c:v>
                </c:pt>
                <c:pt idx="830">
                  <c:v>-0.9732782022452956</c:v>
                </c:pt>
                <c:pt idx="831">
                  <c:v>-0.97530460943914565</c:v>
                </c:pt>
                <c:pt idx="832">
                  <c:v>-0.97734042881101979</c:v>
                </c:pt>
                <c:pt idx="833">
                  <c:v>-0.97938568869517872</c:v>
                </c:pt>
                <c:pt idx="834">
                  <c:v>-0.98144041742588406</c:v>
                </c:pt>
                <c:pt idx="835">
                  <c:v>-0.98350464333739651</c:v>
                </c:pt>
                <c:pt idx="836">
                  <c:v>-0.98557839476397946</c:v>
                </c:pt>
                <c:pt idx="837">
                  <c:v>-0.98766170003989184</c:v>
                </c:pt>
                <c:pt idx="838">
                  <c:v>-0.98975458749939793</c:v>
                </c:pt>
                <c:pt idx="839">
                  <c:v>-0.99185708547675755</c:v>
                </c:pt>
                <c:pt idx="840">
                  <c:v>-0.99396922230623275</c:v>
                </c:pt>
                <c:pt idx="841">
                  <c:v>-0.99609102632208468</c:v>
                </c:pt>
                <c:pt idx="842">
                  <c:v>-0.99822252585857496</c:v>
                </c:pt>
                <c:pt idx="843">
                  <c:v>-1.0003637492499649</c:v>
                </c:pt>
                <c:pt idx="844">
                  <c:v>-1.0025147248305162</c:v>
                </c:pt>
                <c:pt idx="845">
                  <c:v>-1.0046754809344911</c:v>
                </c:pt>
                <c:pt idx="846">
                  <c:v>-1.0068460458961503</c:v>
                </c:pt>
                <c:pt idx="847">
                  <c:v>-1.0090264480497555</c:v>
                </c:pt>
                <c:pt idx="848">
                  <c:v>-1.0112167157295677</c:v>
                </c:pt>
                <c:pt idx="849">
                  <c:v>-1.0134168772698495</c:v>
                </c:pt>
                <c:pt idx="850">
                  <c:v>-1.015626961004862</c:v>
                </c:pt>
                <c:pt idx="851">
                  <c:v>-1.0178469952688651</c:v>
                </c:pt>
                <c:pt idx="852">
                  <c:v>-1.0200770083961235</c:v>
                </c:pt>
                <c:pt idx="853">
                  <c:v>-1.022317028720896</c:v>
                </c:pt>
                <c:pt idx="854">
                  <c:v>-1.0245670845774453</c:v>
                </c:pt>
                <c:pt idx="855">
                  <c:v>-1.0268272043000328</c:v>
                </c:pt>
                <c:pt idx="856">
                  <c:v>-1.0290974162229198</c:v>
                </c:pt>
                <c:pt idx="857">
                  <c:v>-1.0313777486803675</c:v>
                </c:pt>
                <c:pt idx="858">
                  <c:v>-1.0336682300066378</c:v>
                </c:pt>
                <c:pt idx="859">
                  <c:v>-1.0359688885359932</c:v>
                </c:pt>
                <c:pt idx="860">
                  <c:v>-1.0382797526026928</c:v>
                </c:pt>
                <c:pt idx="861">
                  <c:v>-1.0406008505410012</c:v>
                </c:pt>
                <c:pt idx="862">
                  <c:v>-1.0429322106851768</c:v>
                </c:pt>
                <c:pt idx="863">
                  <c:v>-1.0452738613694832</c:v>
                </c:pt>
                <c:pt idx="864">
                  <c:v>-1.0476258309281814</c:v>
                </c:pt>
                <c:pt idx="865">
                  <c:v>-1.0499881476955326</c:v>
                </c:pt>
                <c:pt idx="866">
                  <c:v>-1.0523608400057984</c:v>
                </c:pt>
                <c:pt idx="867">
                  <c:v>-1.0547439361932409</c:v>
                </c:pt>
                <c:pt idx="868">
                  <c:v>-1.0571374645921203</c:v>
                </c:pt>
                <c:pt idx="869">
                  <c:v>-1.0595414535366996</c:v>
                </c:pt>
                <c:pt idx="870">
                  <c:v>-1.0619559313612394</c:v>
                </c:pt>
                <c:pt idx="871">
                  <c:v>-1.0643809264000015</c:v>
                </c:pt>
                <c:pt idx="872">
                  <c:v>-1.0668164669872469</c:v>
                </c:pt>
                <c:pt idx="873">
                  <c:v>-1.0692625814572381</c:v>
                </c:pt>
                <c:pt idx="874">
                  <c:v>-1.0717192981442363</c:v>
                </c:pt>
                <c:pt idx="875">
                  <c:v>-1.0741866453825022</c:v>
                </c:pt>
                <c:pt idx="876">
                  <c:v>-1.0766646515062983</c:v>
                </c:pt>
                <c:pt idx="877">
                  <c:v>-1.0791533448498849</c:v>
                </c:pt>
                <c:pt idx="878">
                  <c:v>-1.0816527537475258</c:v>
                </c:pt>
                <c:pt idx="879">
                  <c:v>-1.0841629065334799</c:v>
                </c:pt>
                <c:pt idx="880">
                  <c:v>-1.0866838315420102</c:v>
                </c:pt>
                <c:pt idx="881">
                  <c:v>-1.0892155571073783</c:v>
                </c:pt>
                <c:pt idx="882">
                  <c:v>-1.0917581115638448</c:v>
                </c:pt>
                <c:pt idx="883">
                  <c:v>-1.0943115232456724</c:v>
                </c:pt>
                <c:pt idx="884">
                  <c:v>-1.0968758204871203</c:v>
                </c:pt>
                <c:pt idx="885">
                  <c:v>-1.0994510316224528</c:v>
                </c:pt>
                <c:pt idx="886">
                  <c:v>-1.1020371849859298</c:v>
                </c:pt>
                <c:pt idx="887">
                  <c:v>-1.1046343089118134</c:v>
                </c:pt>
                <c:pt idx="888">
                  <c:v>-1.1072424317343659</c:v>
                </c:pt>
                <c:pt idx="889">
                  <c:v>-1.1098615817878463</c:v>
                </c:pt>
                <c:pt idx="890">
                  <c:v>-1.1124917874065177</c:v>
                </c:pt>
                <c:pt idx="891">
                  <c:v>-1.1151330769246428</c:v>
                </c:pt>
                <c:pt idx="892">
                  <c:v>-1.1177854786764807</c:v>
                </c:pt>
                <c:pt idx="893">
                  <c:v>-1.1204490209962947</c:v>
                </c:pt>
                <c:pt idx="894">
                  <c:v>-1.1231237322183465</c:v>
                </c:pt>
                <c:pt idx="895">
                  <c:v>-1.1258096406768949</c:v>
                </c:pt>
                <c:pt idx="896">
                  <c:v>-1.1285067747062052</c:v>
                </c:pt>
                <c:pt idx="897">
                  <c:v>-1.1312151626405358</c:v>
                </c:pt>
                <c:pt idx="898">
                  <c:v>-1.1339348328141501</c:v>
                </c:pt>
                <c:pt idx="899">
                  <c:v>-1.1366658135613079</c:v>
                </c:pt>
                <c:pt idx="900">
                  <c:v>-1.1394081332162731</c:v>
                </c:pt>
                <c:pt idx="901">
                  <c:v>-1.1421618201133059</c:v>
                </c:pt>
                <c:pt idx="902">
                  <c:v>-1.1449269025866666</c:v>
                </c:pt>
                <c:pt idx="903">
                  <c:v>-1.1477034089706191</c:v>
                </c:pt>
                <c:pt idx="904">
                  <c:v>-1.1504913675994239</c:v>
                </c:pt>
                <c:pt idx="905">
                  <c:v>-1.1532908068073411</c:v>
                </c:pt>
                <c:pt idx="906">
                  <c:v>-1.1561017549286343</c:v>
                </c:pt>
                <c:pt idx="907">
                  <c:v>-1.1589242402975639</c:v>
                </c:pt>
                <c:pt idx="908">
                  <c:v>-1.1617582912483915</c:v>
                </c:pt>
                <c:pt idx="909">
                  <c:v>-1.1646039361153786</c:v>
                </c:pt>
                <c:pt idx="910">
                  <c:v>-1.1674612032327873</c:v>
                </c:pt>
                <c:pt idx="911">
                  <c:v>-1.1703301209348784</c:v>
                </c:pt>
                <c:pt idx="912">
                  <c:v>-1.1732107175559148</c:v>
                </c:pt>
                <c:pt idx="913">
                  <c:v>-1.1761030214301567</c:v>
                </c:pt>
                <c:pt idx="914">
                  <c:v>-1.1790070608918635</c:v>
                </c:pt>
                <c:pt idx="915">
                  <c:v>-1.1819228642753017</c:v>
                </c:pt>
                <c:pt idx="916">
                  <c:v>-1.1848504599147294</c:v>
                </c:pt>
                <c:pt idx="917">
                  <c:v>-1.1877898761444081</c:v>
                </c:pt>
                <c:pt idx="918">
                  <c:v>-1.1907411412986009</c:v>
                </c:pt>
                <c:pt idx="919">
                  <c:v>-1.1937042837115683</c:v>
                </c:pt>
                <c:pt idx="920">
                  <c:v>-1.1966793317175717</c:v>
                </c:pt>
                <c:pt idx="921">
                  <c:v>-1.199666313650873</c:v>
                </c:pt>
                <c:pt idx="922">
                  <c:v>-1.2026652578457342</c:v>
                </c:pt>
                <c:pt idx="923">
                  <c:v>-1.2056761926364157</c:v>
                </c:pt>
                <c:pt idx="924">
                  <c:v>-1.208699146357179</c:v>
                </c:pt>
                <c:pt idx="925">
                  <c:v>-1.2117341473422871</c:v>
                </c:pt>
                <c:pt idx="926">
                  <c:v>-1.2147812239260003</c:v>
                </c:pt>
                <c:pt idx="927">
                  <c:v>-1.2178404044425801</c:v>
                </c:pt>
                <c:pt idx="928">
                  <c:v>-1.2209117172262887</c:v>
                </c:pt>
                <c:pt idx="929">
                  <c:v>-1.2239951906113871</c:v>
                </c:pt>
                <c:pt idx="930">
                  <c:v>-1.2270908529321374</c:v>
                </c:pt>
                <c:pt idx="931">
                  <c:v>-1.2301987325227999</c:v>
                </c:pt>
                <c:pt idx="932">
                  <c:v>-1.2333188577176371</c:v>
                </c:pt>
                <c:pt idx="933">
                  <c:v>-1.2364512568509096</c:v>
                </c:pt>
                <c:pt idx="934">
                  <c:v>-1.2395959582568796</c:v>
                </c:pt>
                <c:pt idx="935">
                  <c:v>-1.24275299026981</c:v>
                </c:pt>
                <c:pt idx="936">
                  <c:v>-1.2459223812239593</c:v>
                </c:pt>
                <c:pt idx="937">
                  <c:v>-1.2491041594535912</c:v>
                </c:pt>
                <c:pt idx="938">
                  <c:v>-1.252298353292967</c:v>
                </c:pt>
                <c:pt idx="939">
                  <c:v>-1.2555049910763478</c:v>
                </c:pt>
                <c:pt idx="940">
                  <c:v>-1.2587241011379939</c:v>
                </c:pt>
                <c:pt idx="941">
                  <c:v>-1.26195571181217</c:v>
                </c:pt>
                <c:pt idx="942">
                  <c:v>-1.2651998514331337</c:v>
                </c:pt>
                <c:pt idx="943">
                  <c:v>-1.2684565483351498</c:v>
                </c:pt>
                <c:pt idx="944">
                  <c:v>-1.2717258308524775</c:v>
                </c:pt>
                <c:pt idx="945">
                  <c:v>-1.2750077273193798</c:v>
                </c:pt>
                <c:pt idx="946">
                  <c:v>-1.2783022660701175</c:v>
                </c:pt>
                <c:pt idx="947">
                  <c:v>-1.2816094754389526</c:v>
                </c:pt>
                <c:pt idx="948">
                  <c:v>-1.2849293837601468</c:v>
                </c:pt>
                <c:pt idx="949">
                  <c:v>-1.2882620193679615</c:v>
                </c:pt>
                <c:pt idx="950">
                  <c:v>-1.2916074105966544</c:v>
                </c:pt>
                <c:pt idx="951">
                  <c:v>-1.2949655857804938</c:v>
                </c:pt>
                <c:pt idx="952">
                  <c:v>-1.2983365732537382</c:v>
                </c:pt>
                <c:pt idx="953">
                  <c:v>-1.3017204013506469</c:v>
                </c:pt>
                <c:pt idx="954">
                  <c:v>-1.3051170984054838</c:v>
                </c:pt>
                <c:pt idx="955">
                  <c:v>-1.3085266927525088</c:v>
                </c:pt>
                <c:pt idx="956">
                  <c:v>-1.3119492127259869</c:v>
                </c:pt>
                <c:pt idx="957">
                  <c:v>-1.3153846866601748</c:v>
                </c:pt>
                <c:pt idx="958">
                  <c:v>-1.3188331428893387</c:v>
                </c:pt>
                <c:pt idx="959">
                  <c:v>-1.3222946097477357</c:v>
                </c:pt>
                <c:pt idx="960">
                  <c:v>-1.3257691155696314</c:v>
                </c:pt>
                <c:pt idx="961">
                  <c:v>-1.3292566886892847</c:v>
                </c:pt>
                <c:pt idx="962">
                  <c:v>-1.3327573574409572</c:v>
                </c:pt>
                <c:pt idx="963">
                  <c:v>-1.3362711501589111</c:v>
                </c:pt>
                <c:pt idx="964">
                  <c:v>-1.3397980951774082</c:v>
                </c:pt>
                <c:pt idx="965">
                  <c:v>-1.343338220830709</c:v>
                </c:pt>
                <c:pt idx="966">
                  <c:v>-1.3468915554530763</c:v>
                </c:pt>
                <c:pt idx="967">
                  <c:v>-1.3504581273787712</c:v>
                </c:pt>
                <c:pt idx="968">
                  <c:v>-1.3540379649420538</c:v>
                </c:pt>
                <c:pt idx="969">
                  <c:v>-1.3576310964771872</c:v>
                </c:pt>
                <c:pt idx="970">
                  <c:v>-1.3612375503184326</c:v>
                </c:pt>
                <c:pt idx="971">
                  <c:v>-1.3648573548000518</c:v>
                </c:pt>
                <c:pt idx="972">
                  <c:v>-1.3684905382563044</c:v>
                </c:pt>
                <c:pt idx="973">
                  <c:v>-1.3721371290214561</c:v>
                </c:pt>
                <c:pt idx="974">
                  <c:v>-1.3757971554297637</c:v>
                </c:pt>
                <c:pt idx="975">
                  <c:v>-1.3794706458154899</c:v>
                </c:pt>
                <c:pt idx="976">
                  <c:v>-1.3831576285128988</c:v>
                </c:pt>
                <c:pt idx="977">
                  <c:v>-1.3868581318562496</c:v>
                </c:pt>
                <c:pt idx="978">
                  <c:v>-1.3905721841798044</c:v>
                </c:pt>
                <c:pt idx="979">
                  <c:v>-1.3942998138178244</c:v>
                </c:pt>
                <c:pt idx="980">
                  <c:v>-1.3980410491045712</c:v>
                </c:pt>
                <c:pt idx="981">
                  <c:v>-1.4017959183743072</c:v>
                </c:pt>
                <c:pt idx="982">
                  <c:v>-1.4055644499612918</c:v>
                </c:pt>
                <c:pt idx="983">
                  <c:v>-1.4093466721997903</c:v>
                </c:pt>
                <c:pt idx="984">
                  <c:v>-1.4131426134240601</c:v>
                </c:pt>
                <c:pt idx="985">
                  <c:v>-1.4169523019683647</c:v>
                </c:pt>
                <c:pt idx="986">
                  <c:v>-1.4207757661669653</c:v>
                </c:pt>
                <c:pt idx="987">
                  <c:v>-1.4246130343541239</c:v>
                </c:pt>
                <c:pt idx="988">
                  <c:v>-1.4284641348640998</c:v>
                </c:pt>
                <c:pt idx="989">
                  <c:v>-1.4323290960311588</c:v>
                </c:pt>
                <c:pt idx="990">
                  <c:v>-1.4362079461895587</c:v>
                </c:pt>
                <c:pt idx="991">
                  <c:v>-1.4401007136735617</c:v>
                </c:pt>
                <c:pt idx="992">
                  <c:v>-1.4440074268174308</c:v>
                </c:pt>
                <c:pt idx="993">
                  <c:v>-1.4479281139554261</c:v>
                </c:pt>
                <c:pt idx="994">
                  <c:v>-1.451862803421808</c:v>
                </c:pt>
                <c:pt idx="995">
                  <c:v>-1.455811523550842</c:v>
                </c:pt>
                <c:pt idx="996">
                  <c:v>-1.4597743026767858</c:v>
                </c:pt>
                <c:pt idx="997">
                  <c:v>-1.4637511691339022</c:v>
                </c:pt>
                <c:pt idx="998">
                  <c:v>-1.4677421512564535</c:v>
                </c:pt>
                <c:pt idx="999">
                  <c:v>-1.4717472773787006</c:v>
                </c:pt>
                <c:pt idx="1000">
                  <c:v>-1.4757665758349048</c:v>
                </c:pt>
              </c:numCache>
            </c:numRef>
          </c:yVal>
          <c:smooth val="1"/>
          <c:extLst>
            <c:ext xmlns:c16="http://schemas.microsoft.com/office/drawing/2014/chart" uri="{C3380CC4-5D6E-409C-BE32-E72D297353CC}">
              <c16:uniqueId val="{00000000-BD75-42F3-B375-AD65130EF508}"/>
            </c:ext>
          </c:extLst>
        </c:ser>
        <c:dLbls>
          <c:showLegendKey val="0"/>
          <c:showVal val="0"/>
          <c:showCatName val="0"/>
          <c:showSerName val="0"/>
          <c:showPercent val="0"/>
          <c:showBubbleSize val="0"/>
        </c:dLbls>
        <c:axId val="1962662527"/>
        <c:axId val="1293976191"/>
      </c:scatterChart>
      <c:valAx>
        <c:axId val="19626625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93976191"/>
        <c:crosses val="autoZero"/>
        <c:crossBetween val="midCat"/>
      </c:valAx>
      <c:valAx>
        <c:axId val="1293976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6266252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9949774796668"/>
          <c:y val="6.7644211140274135E-2"/>
          <c:w val="0.78011967639847479"/>
          <c:h val="0.79875856258708411"/>
        </c:manualLayout>
      </c:layout>
      <c:scatterChart>
        <c:scatterStyle val="lineMarker"/>
        <c:varyColors val="0"/>
        <c:ser>
          <c:idx val="0"/>
          <c:order val="0"/>
          <c:tx>
            <c:v>回帰曲線</c:v>
          </c:tx>
          <c:spPr>
            <a:ln w="19050" cap="rnd">
              <a:solidFill>
                <a:schemeClr val="accent1"/>
              </a:solidFill>
              <a:round/>
            </a:ln>
            <a:effectLst/>
          </c:spPr>
          <c:marker>
            <c:symbol val="none"/>
          </c:marker>
          <c:xVal>
            <c:numRef>
              <c:f>'C2'!$BJ$14:$BJ$1013</c:f>
              <c:numCache>
                <c:formatCode>General</c:formatCode>
                <c:ptCount val="1000"/>
                <c:pt idx="0">
                  <c:v>0</c:v>
                </c:pt>
                <c:pt idx="1">
                  <c:v>46.011131730000002</c:v>
                </c:pt>
                <c:pt idx="2">
                  <c:v>92.022263460000005</c:v>
                </c:pt>
                <c:pt idx="3">
                  <c:v>138.03339518999999</c:v>
                </c:pt>
                <c:pt idx="4">
                  <c:v>184.04452692000001</c:v>
                </c:pt>
                <c:pt idx="5">
                  <c:v>230.05565864999997</c:v>
                </c:pt>
                <c:pt idx="6">
                  <c:v>276.06679037999999</c:v>
                </c:pt>
                <c:pt idx="7">
                  <c:v>322.07792210999997</c:v>
                </c:pt>
                <c:pt idx="8">
                  <c:v>368.08905384000002</c:v>
                </c:pt>
                <c:pt idx="9">
                  <c:v>414.10018557000001</c:v>
                </c:pt>
                <c:pt idx="10">
                  <c:v>460.11131729999994</c:v>
                </c:pt>
                <c:pt idx="11">
                  <c:v>506.12244903000004</c:v>
                </c:pt>
                <c:pt idx="12">
                  <c:v>552.13358075999997</c:v>
                </c:pt>
                <c:pt idx="13">
                  <c:v>598.14471248999996</c:v>
                </c:pt>
                <c:pt idx="14">
                  <c:v>644.15584421999995</c:v>
                </c:pt>
                <c:pt idx="15">
                  <c:v>690.16697595000016</c:v>
                </c:pt>
                <c:pt idx="16">
                  <c:v>736.17810768000004</c:v>
                </c:pt>
                <c:pt idx="17">
                  <c:v>782.18923941000003</c:v>
                </c:pt>
                <c:pt idx="18">
                  <c:v>828.20037114000002</c:v>
                </c:pt>
                <c:pt idx="19">
                  <c:v>874.21150287</c:v>
                </c:pt>
                <c:pt idx="20">
                  <c:v>920.22263459999988</c:v>
                </c:pt>
                <c:pt idx="21">
                  <c:v>966.23376633000009</c:v>
                </c:pt>
                <c:pt idx="22">
                  <c:v>1012.2448980600001</c:v>
                </c:pt>
                <c:pt idx="23">
                  <c:v>1058.2560297900002</c:v>
                </c:pt>
                <c:pt idx="24">
                  <c:v>1104.2671615199999</c:v>
                </c:pt>
                <c:pt idx="25">
                  <c:v>1150.2782932500002</c:v>
                </c:pt>
                <c:pt idx="26">
                  <c:v>1196.2894249799999</c:v>
                </c:pt>
                <c:pt idx="27">
                  <c:v>1242.3005567100001</c:v>
                </c:pt>
                <c:pt idx="28">
                  <c:v>1288.3116884399999</c:v>
                </c:pt>
                <c:pt idx="29">
                  <c:v>1334.3228201700001</c:v>
                </c:pt>
                <c:pt idx="30">
                  <c:v>1380.3339519000003</c:v>
                </c:pt>
                <c:pt idx="31">
                  <c:v>1426.3450836300001</c:v>
                </c:pt>
                <c:pt idx="32">
                  <c:v>1472.3562153600001</c:v>
                </c:pt>
                <c:pt idx="33">
                  <c:v>1518.3673470899998</c:v>
                </c:pt>
                <c:pt idx="34">
                  <c:v>1564.3784788200001</c:v>
                </c:pt>
                <c:pt idx="35">
                  <c:v>1610.3896105499998</c:v>
                </c:pt>
                <c:pt idx="36">
                  <c:v>1656.40074228</c:v>
                </c:pt>
                <c:pt idx="37">
                  <c:v>1702.4118740100002</c:v>
                </c:pt>
                <c:pt idx="38">
                  <c:v>1748.42300574</c:v>
                </c:pt>
                <c:pt idx="39">
                  <c:v>1794.43413747</c:v>
                </c:pt>
                <c:pt idx="40">
                  <c:v>1840.4452691999998</c:v>
                </c:pt>
                <c:pt idx="41">
                  <c:v>1886.45640093</c:v>
                </c:pt>
                <c:pt idx="42">
                  <c:v>1932.4675326600002</c:v>
                </c:pt>
                <c:pt idx="43">
                  <c:v>1978.4786643900006</c:v>
                </c:pt>
                <c:pt idx="44">
                  <c:v>2024.4897961200002</c:v>
                </c:pt>
                <c:pt idx="45">
                  <c:v>2070.5009278499997</c:v>
                </c:pt>
                <c:pt idx="46">
                  <c:v>2116.5120595800004</c:v>
                </c:pt>
                <c:pt idx="47">
                  <c:v>2162.5231913100001</c:v>
                </c:pt>
                <c:pt idx="48">
                  <c:v>2208.5343230399999</c:v>
                </c:pt>
                <c:pt idx="49">
                  <c:v>2254.5454547700001</c:v>
                </c:pt>
                <c:pt idx="50">
                  <c:v>2300.5565865000003</c:v>
                </c:pt>
                <c:pt idx="51">
                  <c:v>2346.5677182300001</c:v>
                </c:pt>
                <c:pt idx="52">
                  <c:v>2392.5788499599998</c:v>
                </c:pt>
                <c:pt idx="53">
                  <c:v>2438.5899816900005</c:v>
                </c:pt>
                <c:pt idx="54">
                  <c:v>2484.6011134200003</c:v>
                </c:pt>
                <c:pt idx="55">
                  <c:v>2530.6122451499996</c:v>
                </c:pt>
                <c:pt idx="56">
                  <c:v>2576.6233768799998</c:v>
                </c:pt>
                <c:pt idx="57">
                  <c:v>2622.63450861</c:v>
                </c:pt>
                <c:pt idx="58">
                  <c:v>2668.6456403400002</c:v>
                </c:pt>
                <c:pt idx="59">
                  <c:v>2714.6567720699995</c:v>
                </c:pt>
                <c:pt idx="60">
                  <c:v>2760.6679038000007</c:v>
                </c:pt>
                <c:pt idx="61">
                  <c:v>2806.6790355300004</c:v>
                </c:pt>
                <c:pt idx="62">
                  <c:v>2852.6901672600002</c:v>
                </c:pt>
                <c:pt idx="63">
                  <c:v>2898.7012989899999</c:v>
                </c:pt>
                <c:pt idx="64">
                  <c:v>2944.7124307200002</c:v>
                </c:pt>
                <c:pt idx="65">
                  <c:v>2990.7235624500004</c:v>
                </c:pt>
                <c:pt idx="66">
                  <c:v>3036.7346941799997</c:v>
                </c:pt>
                <c:pt idx="67">
                  <c:v>3082.7458259099999</c:v>
                </c:pt>
                <c:pt idx="68">
                  <c:v>3128.7569576400001</c:v>
                </c:pt>
                <c:pt idx="69">
                  <c:v>3174.7680893699999</c:v>
                </c:pt>
                <c:pt idx="70">
                  <c:v>3220.7792210999996</c:v>
                </c:pt>
                <c:pt idx="71">
                  <c:v>3266.7903528300003</c:v>
                </c:pt>
                <c:pt idx="72">
                  <c:v>3312.8014845600001</c:v>
                </c:pt>
                <c:pt idx="73">
                  <c:v>3358.8126162899998</c:v>
                </c:pt>
                <c:pt idx="74">
                  <c:v>3404.8237480200005</c:v>
                </c:pt>
                <c:pt idx="75">
                  <c:v>3450.8348797499998</c:v>
                </c:pt>
                <c:pt idx="76">
                  <c:v>3496.84601148</c:v>
                </c:pt>
                <c:pt idx="77">
                  <c:v>3542.8571432100002</c:v>
                </c:pt>
                <c:pt idx="78">
                  <c:v>3588.86827494</c:v>
                </c:pt>
                <c:pt idx="79">
                  <c:v>3634.8794066700011</c:v>
                </c:pt>
                <c:pt idx="80">
                  <c:v>3680.8905383999995</c:v>
                </c:pt>
                <c:pt idx="81">
                  <c:v>3726.9016701299993</c:v>
                </c:pt>
                <c:pt idx="82">
                  <c:v>3772.9128018599999</c:v>
                </c:pt>
                <c:pt idx="83">
                  <c:v>3818.9239335900006</c:v>
                </c:pt>
                <c:pt idx="84">
                  <c:v>3864.9350653200004</c:v>
                </c:pt>
                <c:pt idx="85">
                  <c:v>3910.9461970500001</c:v>
                </c:pt>
                <c:pt idx="86">
                  <c:v>3956.9573287800013</c:v>
                </c:pt>
                <c:pt idx="87">
                  <c:v>4002.9684605099997</c:v>
                </c:pt>
                <c:pt idx="88">
                  <c:v>4048.9795922400003</c:v>
                </c:pt>
                <c:pt idx="89">
                  <c:v>4094.9907239700001</c:v>
                </c:pt>
                <c:pt idx="90">
                  <c:v>4141.0018556999994</c:v>
                </c:pt>
                <c:pt idx="91">
                  <c:v>4187.0129874300001</c:v>
                </c:pt>
                <c:pt idx="92">
                  <c:v>4233.0241191600007</c:v>
                </c:pt>
                <c:pt idx="93">
                  <c:v>4279.0352508900005</c:v>
                </c:pt>
                <c:pt idx="94">
                  <c:v>4325.0463826200003</c:v>
                </c:pt>
                <c:pt idx="95">
                  <c:v>4371.0575143499991</c:v>
                </c:pt>
                <c:pt idx="96">
                  <c:v>4417.0686460799998</c:v>
                </c:pt>
                <c:pt idx="97">
                  <c:v>4463.0797778100014</c:v>
                </c:pt>
                <c:pt idx="98">
                  <c:v>4509.0909095400002</c:v>
                </c:pt>
                <c:pt idx="99">
                  <c:v>4555.10204127</c:v>
                </c:pt>
                <c:pt idx="100">
                  <c:v>4601.1131730000006</c:v>
                </c:pt>
              </c:numCache>
            </c:numRef>
          </c:xVal>
          <c:yVal>
            <c:numRef>
              <c:f>'C2'!$BI$14:$BI$1013</c:f>
              <c:numCache>
                <c:formatCode>General</c:formatCode>
                <c:ptCount val="1000"/>
                <c:pt idx="0">
                  <c:v>-1.5054836501088742</c:v>
                </c:pt>
                <c:pt idx="1">
                  <c:v>3.1011015163351772</c:v>
                </c:pt>
                <c:pt idx="2">
                  <c:v>7.4787440159153729</c:v>
                </c:pt>
                <c:pt idx="3">
                  <c:v>11.635382895214674</c:v>
                </c:pt>
                <c:pt idx="4">
                  <c:v>15.578813039262062</c:v>
                </c:pt>
                <c:pt idx="5">
                  <c:v>19.316685171532534</c:v>
                </c:pt>
                <c:pt idx="6">
                  <c:v>22.856505853947095</c:v>
                </c:pt>
                <c:pt idx="7">
                  <c:v>26.205637486872778</c:v>
                </c:pt>
                <c:pt idx="8">
                  <c:v>29.37129830912264</c:v>
                </c:pt>
                <c:pt idx="9">
                  <c:v>32.360562397955711</c:v>
                </c:pt>
                <c:pt idx="10">
                  <c:v>35.180359669077099</c:v>
                </c:pt>
                <c:pt idx="11">
                  <c:v>37.837475876637875</c:v>
                </c:pt>
                <c:pt idx="12">
                  <c:v>40.338552613235152</c:v>
                </c:pt>
                <c:pt idx="13">
                  <c:v>42.690087309912059</c:v>
                </c:pt>
                <c:pt idx="14">
                  <c:v>44.898433236157729</c:v>
                </c:pt>
                <c:pt idx="15">
                  <c:v>46.969799499907332</c:v>
                </c:pt>
                <c:pt idx="16">
                  <c:v>48.910251047542033</c:v>
                </c:pt>
                <c:pt idx="17">
                  <c:v>50.725708663889016</c:v>
                </c:pt>
                <c:pt idx="18">
                  <c:v>52.421948972221479</c:v>
                </c:pt>
                <c:pt idx="19">
                  <c:v>54.00460443425866</c:v>
                </c:pt>
                <c:pt idx="20">
                  <c:v>55.479163350165805</c:v>
                </c:pt>
                <c:pt idx="21">
                  <c:v>56.850969858554144</c:v>
                </c:pt>
                <c:pt idx="22">
                  <c:v>58.125223936480964</c:v>
                </c:pt>
                <c:pt idx="23">
                  <c:v>59.306981399449519</c:v>
                </c:pt>
                <c:pt idx="24">
                  <c:v>60.401153901409131</c:v>
                </c:pt>
                <c:pt idx="25">
                  <c:v>61.412508934755138</c:v>
                </c:pt>
                <c:pt idx="26">
                  <c:v>62.345669830328831</c:v>
                </c:pt>
                <c:pt idx="27">
                  <c:v>63.205115757417609</c:v>
                </c:pt>
                <c:pt idx="28">
                  <c:v>63.99518172375479</c:v>
                </c:pt>
                <c:pt idx="29">
                  <c:v>64.720058575519786</c:v>
                </c:pt>
                <c:pt idx="30">
                  <c:v>65.383792997338006</c:v>
                </c:pt>
                <c:pt idx="31">
                  <c:v>65.990287512280815</c:v>
                </c:pt>
                <c:pt idx="32">
                  <c:v>66.5433004818657</c:v>
                </c:pt>
                <c:pt idx="33">
                  <c:v>67.046446106056081</c:v>
                </c:pt>
                <c:pt idx="34">
                  <c:v>67.503194423261377</c:v>
                </c:pt>
                <c:pt idx="35">
                  <c:v>67.916871310337129</c:v>
                </c:pt>
                <c:pt idx="36">
                  <c:v>68.290658482584803</c:v>
                </c:pt>
                <c:pt idx="37">
                  <c:v>68.627593493751931</c:v>
                </c:pt>
                <c:pt idx="38">
                  <c:v>68.930569736032041</c:v>
                </c:pt>
                <c:pt idx="39">
                  <c:v>69.202336440064656</c:v>
                </c:pt>
                <c:pt idx="40">
                  <c:v>69.445498674935322</c:v>
                </c:pt>
                <c:pt idx="41">
                  <c:v>69.662517348175655</c:v>
                </c:pt>
                <c:pt idx="42">
                  <c:v>69.855709205763191</c:v>
                </c:pt>
                <c:pt idx="43">
                  <c:v>70.027246832121534</c:v>
                </c:pt>
                <c:pt idx="44">
                  <c:v>70.17915865012047</c:v>
                </c:pt>
                <c:pt idx="45">
                  <c:v>70.313328921075396</c:v>
                </c:pt>
                <c:pt idx="46">
                  <c:v>70.431497744748157</c:v>
                </c:pt>
                <c:pt idx="47">
                  <c:v>70.535261059346311</c:v>
                </c:pt>
                <c:pt idx="48">
                  <c:v>70.626070641523555</c:v>
                </c:pt>
                <c:pt idx="49">
                  <c:v>70.705234106379677</c:v>
                </c:pt>
                <c:pt idx="50">
                  <c:v>70.773914907460295</c:v>
                </c:pt>
                <c:pt idx="51">
                  <c:v>70.833132336757217</c:v>
                </c:pt>
                <c:pt idx="52">
                  <c:v>70.88376152470812</c:v>
                </c:pt>
                <c:pt idx="53">
                  <c:v>70.926533440196877</c:v>
                </c:pt>
                <c:pt idx="54">
                  <c:v>70.962034890553198</c:v>
                </c:pt>
                <c:pt idx="55">
                  <c:v>70.990708521552889</c:v>
                </c:pt>
                <c:pt idx="56">
                  <c:v>71.012852817417809</c:v>
                </c:pt>
                <c:pt idx="57">
                  <c:v>71.028622100815724</c:v>
                </c:pt>
                <c:pt idx="58">
                  <c:v>71.038026532860485</c:v>
                </c:pt>
                <c:pt idx="59">
                  <c:v>71.040932113112092</c:v>
                </c:pt>
                <c:pt idx="60">
                  <c:v>71.037060679576285</c:v>
                </c:pt>
                <c:pt idx="61">
                  <c:v>71.025989908704972</c:v>
                </c:pt>
                <c:pt idx="62">
                  <c:v>71.007153315396081</c:v>
                </c:pt>
                <c:pt idx="63">
                  <c:v>70.97984025299364</c:v>
                </c:pt>
                <c:pt idx="64">
                  <c:v>70.943195913287369</c:v>
                </c:pt>
                <c:pt idx="65">
                  <c:v>70.896221326513469</c:v>
                </c:pt>
                <c:pt idx="66">
                  <c:v>70.837773361353868</c:v>
                </c:pt>
                <c:pt idx="67">
                  <c:v>70.766564724936359</c:v>
                </c:pt>
                <c:pt idx="68">
                  <c:v>70.681163962835143</c:v>
                </c:pt>
                <c:pt idx="69">
                  <c:v>70.579995459070204</c:v>
                </c:pt>
                <c:pt idx="70">
                  <c:v>70.461339436107664</c:v>
                </c:pt>
                <c:pt idx="71">
                  <c:v>70.323331954859398</c:v>
                </c:pt>
                <c:pt idx="72">
                  <c:v>70.163964914683532</c:v>
                </c:pt>
                <c:pt idx="73">
                  <c:v>69.981086053384331</c:v>
                </c:pt>
                <c:pt idx="74">
                  <c:v>69.772398947211585</c:v>
                </c:pt>
                <c:pt idx="75">
                  <c:v>69.535463010861847</c:v>
                </c:pt>
                <c:pt idx="76">
                  <c:v>69.267693497476856</c:v>
                </c:pt>
                <c:pt idx="77">
                  <c:v>68.966361498644943</c:v>
                </c:pt>
                <c:pt idx="78">
                  <c:v>68.628593944400265</c:v>
                </c:pt>
                <c:pt idx="79">
                  <c:v>68.251373603222888</c:v>
                </c:pt>
                <c:pt idx="80">
                  <c:v>67.831539082039313</c:v>
                </c:pt>
                <c:pt idx="81">
                  <c:v>67.365784826221571</c:v>
                </c:pt>
                <c:pt idx="82">
                  <c:v>66.850661119587841</c:v>
                </c:pt>
                <c:pt idx="83">
                  <c:v>66.282574084402341</c:v>
                </c:pt>
                <c:pt idx="84">
                  <c:v>65.657785681375529</c:v>
                </c:pt>
                <c:pt idx="85">
                  <c:v>64.972413709663471</c:v>
                </c:pt>
                <c:pt idx="86">
                  <c:v>64.222431806868599</c:v>
                </c:pt>
                <c:pt idx="87">
                  <c:v>63.403669449039526</c:v>
                </c:pt>
                <c:pt idx="88">
                  <c:v>62.511811950670037</c:v>
                </c:pt>
                <c:pt idx="89">
                  <c:v>61.542400464700563</c:v>
                </c:pt>
                <c:pt idx="90">
                  <c:v>60.490831982517726</c:v>
                </c:pt>
                <c:pt idx="91">
                  <c:v>59.352359333953707</c:v>
                </c:pt>
                <c:pt idx="92">
                  <c:v>58.122091187287175</c:v>
                </c:pt>
                <c:pt idx="93">
                  <c:v>56.794992049242076</c:v>
                </c:pt>
                <c:pt idx="94">
                  <c:v>55.365882264989374</c:v>
                </c:pt>
                <c:pt idx="95">
                  <c:v>53.829438018145147</c:v>
                </c:pt>
                <c:pt idx="96">
                  <c:v>52.18019133077194</c:v>
                </c:pt>
                <c:pt idx="97">
                  <c:v>50.412530063378583</c:v>
                </c:pt>
                <c:pt idx="98">
                  <c:v>48.520697914918756</c:v>
                </c:pt>
                <c:pt idx="99">
                  <c:v>46.498794422793502</c:v>
                </c:pt>
                <c:pt idx="100">
                  <c:v>44.340774962849515</c:v>
                </c:pt>
              </c:numCache>
            </c:numRef>
          </c:yVal>
          <c:smooth val="0"/>
          <c:extLst>
            <c:ext xmlns:c16="http://schemas.microsoft.com/office/drawing/2014/chart" uri="{C3380CC4-5D6E-409C-BE32-E72D297353CC}">
              <c16:uniqueId val="{00000000-A76B-4597-9960-C9098FA5A506}"/>
            </c:ext>
          </c:extLst>
        </c:ser>
        <c:ser>
          <c:idx val="1"/>
          <c:order val="1"/>
          <c:tx>
            <c:v>サンプルデータ</c:v>
          </c:tx>
          <c:spPr>
            <a:ln w="19050" cap="rnd">
              <a:noFill/>
              <a:round/>
            </a:ln>
            <a:effectLst/>
          </c:spPr>
          <c:marker>
            <c:symbol val="circle"/>
            <c:size val="8"/>
            <c:spPr>
              <a:noFill/>
              <a:ln w="9525">
                <a:solidFill>
                  <a:schemeClr val="accent1"/>
                </a:solidFill>
              </a:ln>
              <a:effectLst/>
            </c:spPr>
          </c:marker>
          <c:xVal>
            <c:numRef>
              <c:f>'C2'!$BQ$14:$BQ$1013</c:f>
              <c:numCache>
                <c:formatCode>General</c:formatCode>
                <c:ptCount val="1000"/>
                <c:pt idx="0">
                  <c:v>0</c:v>
                </c:pt>
                <c:pt idx="1">
                  <c:v>66.790352499999997</c:v>
                </c:pt>
                <c:pt idx="2">
                  <c:v>126.15955470000002</c:v>
                </c:pt>
                <c:pt idx="3">
                  <c:v>185.52875700000001</c:v>
                </c:pt>
                <c:pt idx="4">
                  <c:v>237.47680890000001</c:v>
                </c:pt>
                <c:pt idx="5">
                  <c:v>304.26716140000008</c:v>
                </c:pt>
                <c:pt idx="6">
                  <c:v>378.47866420000003</c:v>
                </c:pt>
                <c:pt idx="7">
                  <c:v>482.37476809999998</c:v>
                </c:pt>
                <c:pt idx="8">
                  <c:v>578.84972170000003</c:v>
                </c:pt>
                <c:pt idx="9">
                  <c:v>697.58812620000026</c:v>
                </c:pt>
                <c:pt idx="10">
                  <c:v>764.37847870000007</c:v>
                </c:pt>
                <c:pt idx="11">
                  <c:v>831.16883120000011</c:v>
                </c:pt>
                <c:pt idx="12">
                  <c:v>890.53803340000013</c:v>
                </c:pt>
                <c:pt idx="13">
                  <c:v>949.90723560000004</c:v>
                </c:pt>
                <c:pt idx="14">
                  <c:v>1024.1187379999999</c:v>
                </c:pt>
                <c:pt idx="15">
                  <c:v>1135.4359930000001</c:v>
                </c:pt>
                <c:pt idx="16">
                  <c:v>1261.5955469999999</c:v>
                </c:pt>
                <c:pt idx="17">
                  <c:v>1395.1762520000002</c:v>
                </c:pt>
                <c:pt idx="18">
                  <c:v>1521.3358070000002</c:v>
                </c:pt>
                <c:pt idx="19">
                  <c:v>1684.6011130000004</c:v>
                </c:pt>
                <c:pt idx="20">
                  <c:v>1833.0241190000002</c:v>
                </c:pt>
                <c:pt idx="21">
                  <c:v>1974.0259739999999</c:v>
                </c:pt>
                <c:pt idx="22">
                  <c:v>2129.8701300000007</c:v>
                </c:pt>
                <c:pt idx="23">
                  <c:v>2300.5565860000002</c:v>
                </c:pt>
                <c:pt idx="24">
                  <c:v>2463.8218919999999</c:v>
                </c:pt>
                <c:pt idx="25">
                  <c:v>2619.666048</c:v>
                </c:pt>
                <c:pt idx="26">
                  <c:v>2745.8256029999993</c:v>
                </c:pt>
                <c:pt idx="27">
                  <c:v>2916.5120590000006</c:v>
                </c:pt>
                <c:pt idx="28">
                  <c:v>3072.3562149999993</c:v>
                </c:pt>
                <c:pt idx="29">
                  <c:v>3198.51577</c:v>
                </c:pt>
                <c:pt idx="30">
                  <c:v>3302.4118740000008</c:v>
                </c:pt>
                <c:pt idx="31">
                  <c:v>3443.4137289999999</c:v>
                </c:pt>
                <c:pt idx="32">
                  <c:v>3562.1521340000013</c:v>
                </c:pt>
                <c:pt idx="33">
                  <c:v>3680.8905380000006</c:v>
                </c:pt>
                <c:pt idx="34">
                  <c:v>3799.6289420000003</c:v>
                </c:pt>
                <c:pt idx="35">
                  <c:v>3903.5250460000002</c:v>
                </c:pt>
                <c:pt idx="36">
                  <c:v>4022.2634509999993</c:v>
                </c:pt>
                <c:pt idx="37">
                  <c:v>4111.3172539999996</c:v>
                </c:pt>
                <c:pt idx="38">
                  <c:v>4230.0556589999997</c:v>
                </c:pt>
                <c:pt idx="39">
                  <c:v>4341.3729129999992</c:v>
                </c:pt>
                <c:pt idx="40">
                  <c:v>4430.4267160000009</c:v>
                </c:pt>
                <c:pt idx="41">
                  <c:v>4519.4805190000006</c:v>
                </c:pt>
                <c:pt idx="42">
                  <c:v>4601.1131730000006</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'C2'!$BP$14:$BP$1013</c:f>
              <c:numCache>
                <c:formatCode>General</c:formatCode>
                <c:ptCount val="1000"/>
                <c:pt idx="0">
                  <c:v>-0.55813953500000002</c:v>
                </c:pt>
                <c:pt idx="1">
                  <c:v>5.3953488370000002</c:v>
                </c:pt>
                <c:pt idx="2">
                  <c:v>10.23255814</c:v>
                </c:pt>
                <c:pt idx="3">
                  <c:v>14.51162791</c:v>
                </c:pt>
                <c:pt idx="4">
                  <c:v>18.79069767</c:v>
                </c:pt>
                <c:pt idx="5">
                  <c:v>23.25581395</c:v>
                </c:pt>
                <c:pt idx="6">
                  <c:v>29.581395350000001</c:v>
                </c:pt>
                <c:pt idx="7">
                  <c:v>36.465116279999997</c:v>
                </c:pt>
                <c:pt idx="8">
                  <c:v>41.860465120000001</c:v>
                </c:pt>
                <c:pt idx="9">
                  <c:v>48.93023256</c:v>
                </c:pt>
                <c:pt idx="10">
                  <c:v>51.906976739999998</c:v>
                </c:pt>
                <c:pt idx="11">
                  <c:v>54.139534879999992</c:v>
                </c:pt>
                <c:pt idx="12">
                  <c:v>56.186046509999997</c:v>
                </c:pt>
                <c:pt idx="13">
                  <c:v>58.046511629999998</c:v>
                </c:pt>
                <c:pt idx="14">
                  <c:v>59.53488372000001</c:v>
                </c:pt>
                <c:pt idx="15">
                  <c:v>60.651162790000001</c:v>
                </c:pt>
                <c:pt idx="16">
                  <c:v>62.88372093000001</c:v>
                </c:pt>
                <c:pt idx="17">
                  <c:v>63.627906980000006</c:v>
                </c:pt>
                <c:pt idx="18">
                  <c:v>65.302325580000002</c:v>
                </c:pt>
                <c:pt idx="19">
                  <c:v>66.79069767</c:v>
                </c:pt>
                <c:pt idx="20">
                  <c:v>68.093023259999995</c:v>
                </c:pt>
                <c:pt idx="21">
                  <c:v>68.837209299999998</c:v>
                </c:pt>
                <c:pt idx="22">
                  <c:v>69.395348839999997</c:v>
                </c:pt>
                <c:pt idx="23">
                  <c:v>70.697674419999998</c:v>
                </c:pt>
                <c:pt idx="24">
                  <c:v>71.069767440000007</c:v>
                </c:pt>
                <c:pt idx="25">
                  <c:v>71.813953490000003</c:v>
                </c:pt>
                <c:pt idx="26">
                  <c:v>72</c:v>
                </c:pt>
                <c:pt idx="27">
                  <c:v>72.372093019999994</c:v>
                </c:pt>
                <c:pt idx="28">
                  <c:v>72.372093019999994</c:v>
                </c:pt>
                <c:pt idx="29">
                  <c:v>71.813953490000003</c:v>
                </c:pt>
                <c:pt idx="30">
                  <c:v>71.255813950000004</c:v>
                </c:pt>
                <c:pt idx="31">
                  <c:v>69.953488370000002</c:v>
                </c:pt>
                <c:pt idx="32">
                  <c:v>69.20930233</c:v>
                </c:pt>
                <c:pt idx="33">
                  <c:v>67.720930229999993</c:v>
                </c:pt>
                <c:pt idx="34">
                  <c:v>66.046511629999998</c:v>
                </c:pt>
                <c:pt idx="35">
                  <c:v>64.186046509999997</c:v>
                </c:pt>
                <c:pt idx="36">
                  <c:v>61.395348839999997</c:v>
                </c:pt>
                <c:pt idx="37">
                  <c:v>59.906976739999998</c:v>
                </c:pt>
                <c:pt idx="38">
                  <c:v>56.744186050000003</c:v>
                </c:pt>
                <c:pt idx="39">
                  <c:v>53.767441859999998</c:v>
                </c:pt>
                <c:pt idx="40">
                  <c:v>51.720930230000008</c:v>
                </c:pt>
                <c:pt idx="41">
                  <c:v>49.116279069999997</c:v>
                </c:pt>
                <c:pt idx="42">
                  <c:v>46.325581399999997</c:v>
                </c:pt>
              </c:numCache>
            </c:numRef>
          </c:yVal>
          <c:smooth val="0"/>
          <c:extLst>
            <c:ext xmlns:c16="http://schemas.microsoft.com/office/drawing/2014/chart" uri="{C3380CC4-5D6E-409C-BE32-E72D297353CC}">
              <c16:uniqueId val="{00000001-A76B-4597-9960-C9098FA5A506}"/>
            </c:ext>
          </c:extLst>
        </c:ser>
        <c:dLbls>
          <c:showLegendKey val="0"/>
          <c:showVal val="0"/>
          <c:showCatName val="0"/>
          <c:showSerName val="0"/>
          <c:showPercent val="0"/>
          <c:showBubbleSize val="0"/>
        </c:dLbls>
        <c:axId val="1866239839"/>
        <c:axId val="170578446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strRef>
              <c:f>'C2'!$BJ$13</c:f>
              <c:strCache>
                <c:ptCount val="1"/>
                <c:pt idx="0">
                  <c:v>L/s</c:v>
                </c:pt>
              </c:strCache>
            </c:strRef>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strRef>
              <c:f>'C2'!$BI$13</c:f>
              <c:strCache>
                <c:ptCount val="1"/>
                <c:pt idx="0">
                  <c:v>%</c:v>
                </c:pt>
              </c:strCache>
            </c:strRef>
          </c:tx>
          <c:layout>
            <c:manualLayout>
              <c:xMode val="edge"/>
              <c:yMode val="edge"/>
              <c:x val="2.4939783761597713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spPr>
        <a:solidFill>
          <a:schemeClr val="bg1"/>
        </a:solidFill>
        <a:ln>
          <a:noFill/>
        </a:ln>
        <a:effectLst/>
      </c:spPr>
    </c:plotArea>
    <c:legend>
      <c:legendPos val="t"/>
      <c:layout>
        <c:manualLayout>
          <c:xMode val="edge"/>
          <c:yMode val="edge"/>
          <c:x val="0.16394802501539163"/>
          <c:y val="8.23045267489712E-3"/>
          <c:w val="0.7731922398589065"/>
          <c:h val="5.5555944395839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9949774796668"/>
          <c:y val="6.7644211140274135E-2"/>
          <c:w val="0.78011967639847479"/>
          <c:h val="0.79875856258708411"/>
        </c:manualLayout>
      </c:layout>
      <c:scatterChart>
        <c:scatterStyle val="lineMarker"/>
        <c:varyColors val="0"/>
        <c:ser>
          <c:idx val="0"/>
          <c:order val="0"/>
          <c:tx>
            <c:v>回帰曲線</c:v>
          </c:tx>
          <c:spPr>
            <a:ln w="19050" cap="rnd">
              <a:solidFill>
                <a:schemeClr val="accent1"/>
              </a:solidFill>
              <a:round/>
            </a:ln>
            <a:effectLst/>
          </c:spPr>
          <c:marker>
            <c:symbol val="none"/>
          </c:marker>
          <c:xVal>
            <c:numRef>
              <c:f>'C1'!$FI$14:$FI$1013</c:f>
              <c:numCache>
                <c:formatCode>General</c:formatCode>
                <c:ptCount val="1000"/>
                <c:pt idx="0">
                  <c:v>14.842300559999998</c:v>
                </c:pt>
                <c:pt idx="1">
                  <c:v>60.705009284399999</c:v>
                </c:pt>
                <c:pt idx="2">
                  <c:v>106.56771800880001</c:v>
                </c:pt>
                <c:pt idx="3">
                  <c:v>152.43042673319999</c:v>
                </c:pt>
                <c:pt idx="4">
                  <c:v>198.29313545760004</c:v>
                </c:pt>
                <c:pt idx="5">
                  <c:v>244.15584418199998</c:v>
                </c:pt>
                <c:pt idx="6">
                  <c:v>290.01855290640003</c:v>
                </c:pt>
                <c:pt idx="7">
                  <c:v>335.8812616308</c:v>
                </c:pt>
                <c:pt idx="8">
                  <c:v>381.74397035519996</c:v>
                </c:pt>
                <c:pt idx="9">
                  <c:v>427.60667907959993</c:v>
                </c:pt>
                <c:pt idx="10">
                  <c:v>473.46938780400001</c:v>
                </c:pt>
                <c:pt idx="11">
                  <c:v>519.33209652840003</c:v>
                </c:pt>
                <c:pt idx="12">
                  <c:v>565.19480525279994</c:v>
                </c:pt>
                <c:pt idx="13">
                  <c:v>611.05751397719996</c:v>
                </c:pt>
                <c:pt idx="14">
                  <c:v>656.92022270159998</c:v>
                </c:pt>
                <c:pt idx="15">
                  <c:v>702.782931426</c:v>
                </c:pt>
                <c:pt idx="16">
                  <c:v>748.64564015040003</c:v>
                </c:pt>
                <c:pt idx="17">
                  <c:v>794.50834887480005</c:v>
                </c:pt>
                <c:pt idx="18">
                  <c:v>840.37105759919996</c:v>
                </c:pt>
                <c:pt idx="19">
                  <c:v>886.23376632360009</c:v>
                </c:pt>
                <c:pt idx="20">
                  <c:v>932.09647504799977</c:v>
                </c:pt>
                <c:pt idx="21">
                  <c:v>977.95918377239991</c:v>
                </c:pt>
                <c:pt idx="22">
                  <c:v>1023.8218924968</c:v>
                </c:pt>
                <c:pt idx="23">
                  <c:v>1069.6846012212002</c:v>
                </c:pt>
                <c:pt idx="24">
                  <c:v>1115.5473099455999</c:v>
                </c:pt>
                <c:pt idx="25">
                  <c:v>1161.41001867</c:v>
                </c:pt>
                <c:pt idx="26">
                  <c:v>1207.2727273943999</c:v>
                </c:pt>
                <c:pt idx="27">
                  <c:v>1253.1354361188</c:v>
                </c:pt>
                <c:pt idx="28">
                  <c:v>1298.9981448432002</c:v>
                </c:pt>
                <c:pt idx="29">
                  <c:v>1344.8608535676001</c:v>
                </c:pt>
                <c:pt idx="30">
                  <c:v>1390.723562292</c:v>
                </c:pt>
                <c:pt idx="31">
                  <c:v>1436.5862710164004</c:v>
                </c:pt>
                <c:pt idx="32">
                  <c:v>1482.4489797408003</c:v>
                </c:pt>
                <c:pt idx="33">
                  <c:v>1528.3116884651999</c:v>
                </c:pt>
                <c:pt idx="34">
                  <c:v>1574.1743971896001</c:v>
                </c:pt>
                <c:pt idx="35">
                  <c:v>1620.037105914</c:v>
                </c:pt>
                <c:pt idx="36">
                  <c:v>1665.8998146384004</c:v>
                </c:pt>
                <c:pt idx="37">
                  <c:v>1711.7625233628</c:v>
                </c:pt>
                <c:pt idx="38">
                  <c:v>1757.6252320872004</c:v>
                </c:pt>
                <c:pt idx="39">
                  <c:v>1803.4879408116003</c:v>
                </c:pt>
                <c:pt idx="40">
                  <c:v>1849.3506495360002</c:v>
                </c:pt>
                <c:pt idx="41">
                  <c:v>1895.2133582604001</c:v>
                </c:pt>
                <c:pt idx="42">
                  <c:v>1941.0760669848003</c:v>
                </c:pt>
                <c:pt idx="43">
                  <c:v>1986.9387757092004</c:v>
                </c:pt>
                <c:pt idx="44">
                  <c:v>2032.8014844336001</c:v>
                </c:pt>
                <c:pt idx="45">
                  <c:v>2078.6641931579998</c:v>
                </c:pt>
                <c:pt idx="46">
                  <c:v>2124.5269018824006</c:v>
                </c:pt>
                <c:pt idx="47">
                  <c:v>2170.3896106068005</c:v>
                </c:pt>
                <c:pt idx="48">
                  <c:v>2216.2523193312004</c:v>
                </c:pt>
                <c:pt idx="49">
                  <c:v>2262.1150280556003</c:v>
                </c:pt>
                <c:pt idx="50">
                  <c:v>2307.9777367800011</c:v>
                </c:pt>
                <c:pt idx="51">
                  <c:v>2353.8404455044001</c:v>
                </c:pt>
                <c:pt idx="52">
                  <c:v>2399.7031542288005</c:v>
                </c:pt>
                <c:pt idx="53">
                  <c:v>2445.5658629532004</c:v>
                </c:pt>
                <c:pt idx="54">
                  <c:v>2491.4285716776008</c:v>
                </c:pt>
                <c:pt idx="55">
                  <c:v>2537.2912804020002</c:v>
                </c:pt>
                <c:pt idx="56">
                  <c:v>2583.1539891264001</c:v>
                </c:pt>
                <c:pt idx="57">
                  <c:v>2629.0166978508005</c:v>
                </c:pt>
                <c:pt idx="58">
                  <c:v>2674.8794065752008</c:v>
                </c:pt>
                <c:pt idx="59">
                  <c:v>2720.7421152996003</c:v>
                </c:pt>
                <c:pt idx="60">
                  <c:v>2766.6048240240002</c:v>
                </c:pt>
                <c:pt idx="61">
                  <c:v>2812.4675327484006</c:v>
                </c:pt>
                <c:pt idx="62">
                  <c:v>2858.3302414728</c:v>
                </c:pt>
                <c:pt idx="63">
                  <c:v>2904.1929501971999</c:v>
                </c:pt>
                <c:pt idx="64">
                  <c:v>2950.0556589215998</c:v>
                </c:pt>
                <c:pt idx="65">
                  <c:v>2995.9183676460007</c:v>
                </c:pt>
                <c:pt idx="66">
                  <c:v>3041.7810763704001</c:v>
                </c:pt>
                <c:pt idx="67">
                  <c:v>3087.6437850948005</c:v>
                </c:pt>
                <c:pt idx="68">
                  <c:v>3133.5064938192004</c:v>
                </c:pt>
                <c:pt idx="69">
                  <c:v>3179.3692025436012</c:v>
                </c:pt>
                <c:pt idx="70">
                  <c:v>3225.2319112680002</c:v>
                </c:pt>
                <c:pt idx="71">
                  <c:v>3271.0946199924001</c:v>
                </c:pt>
                <c:pt idx="72">
                  <c:v>3316.9573287167996</c:v>
                </c:pt>
                <c:pt idx="73">
                  <c:v>3362.8200374412004</c:v>
                </c:pt>
                <c:pt idx="74">
                  <c:v>3408.6827461656003</c:v>
                </c:pt>
                <c:pt idx="75">
                  <c:v>3454.5454548900002</c:v>
                </c:pt>
                <c:pt idx="76">
                  <c:v>3500.4081636144006</c:v>
                </c:pt>
                <c:pt idx="77">
                  <c:v>3546.2708723388005</c:v>
                </c:pt>
                <c:pt idx="78">
                  <c:v>3592.1335810632008</c:v>
                </c:pt>
                <c:pt idx="79">
                  <c:v>3637.9962897876003</c:v>
                </c:pt>
                <c:pt idx="80">
                  <c:v>3683.8589985120002</c:v>
                </c:pt>
                <c:pt idx="81">
                  <c:v>3729.7217072364001</c:v>
                </c:pt>
                <c:pt idx="82">
                  <c:v>3775.5844159608005</c:v>
                </c:pt>
                <c:pt idx="83">
                  <c:v>3821.4471246851999</c:v>
                </c:pt>
                <c:pt idx="84">
                  <c:v>3867.3098334096012</c:v>
                </c:pt>
                <c:pt idx="85">
                  <c:v>3913.1725421340002</c:v>
                </c:pt>
                <c:pt idx="86">
                  <c:v>3959.0352508584001</c:v>
                </c:pt>
                <c:pt idx="87">
                  <c:v>4004.8979595828</c:v>
                </c:pt>
                <c:pt idx="88">
                  <c:v>4050.7606683071995</c:v>
                </c:pt>
                <c:pt idx="89">
                  <c:v>4096.6233770316003</c:v>
                </c:pt>
                <c:pt idx="90">
                  <c:v>4142.4860857559997</c:v>
                </c:pt>
                <c:pt idx="91">
                  <c:v>4188.3487944804001</c:v>
                </c:pt>
                <c:pt idx="92">
                  <c:v>4234.2115032048005</c:v>
                </c:pt>
                <c:pt idx="93">
                  <c:v>4280.0742119291999</c:v>
                </c:pt>
                <c:pt idx="94">
                  <c:v>4325.9369206536003</c:v>
                </c:pt>
                <c:pt idx="95">
                  <c:v>4371.7996293779997</c:v>
                </c:pt>
                <c:pt idx="96">
                  <c:v>4417.6623381024001</c:v>
                </c:pt>
                <c:pt idx="97">
                  <c:v>4463.5250468267996</c:v>
                </c:pt>
                <c:pt idx="98">
                  <c:v>4509.3877555512008</c:v>
                </c:pt>
                <c:pt idx="99">
                  <c:v>4555.2504642756003</c:v>
                </c:pt>
                <c:pt idx="100">
                  <c:v>4601.1131730000006</c:v>
                </c:pt>
              </c:numCache>
            </c:numRef>
          </c:xVal>
          <c:yVal>
            <c:numRef>
              <c:f>'C1'!$FH$14:$FH$1013</c:f>
              <c:numCache>
                <c:formatCode>General</c:formatCode>
                <c:ptCount val="1000"/>
                <c:pt idx="0">
                  <c:v>44.384402528759132</c:v>
                </c:pt>
                <c:pt idx="1">
                  <c:v>44.455928084427299</c:v>
                </c:pt>
                <c:pt idx="2">
                  <c:v>44.509433523738664</c:v>
                </c:pt>
                <c:pt idx="3">
                  <c:v>44.545559955107144</c:v>
                </c:pt>
                <c:pt idx="4">
                  <c:v>44.564935235877286</c:v>
                </c:pt>
                <c:pt idx="5">
                  <c:v>44.568173972324445</c:v>
                </c:pt>
                <c:pt idx="6">
                  <c:v>44.555877519654707</c:v>
                </c:pt>
                <c:pt idx="7">
                  <c:v>44.528633982004934</c:v>
                </c:pt>
                <c:pt idx="8">
                  <c:v>44.487018212442706</c:v>
                </c:pt>
                <c:pt idx="9">
                  <c:v>44.431591812966381</c:v>
                </c:pt>
                <c:pt idx="10">
                  <c:v>44.362903134505032</c:v>
                </c:pt>
                <c:pt idx="11">
                  <c:v>44.281487276918533</c:v>
                </c:pt>
                <c:pt idx="12">
                  <c:v>44.187866088997438</c:v>
                </c:pt>
                <c:pt idx="13">
                  <c:v>44.082548168463134</c:v>
                </c:pt>
                <c:pt idx="14">
                  <c:v>43.966028861967672</c:v>
                </c:pt>
                <c:pt idx="15">
                  <c:v>43.838790265093941</c:v>
                </c:pt>
                <c:pt idx="16">
                  <c:v>43.701301222355497</c:v>
                </c:pt>
                <c:pt idx="17">
                  <c:v>43.554017327196703</c:v>
                </c:pt>
                <c:pt idx="18">
                  <c:v>43.397380921992649</c:v>
                </c:pt>
                <c:pt idx="19">
                  <c:v>43.231821098049181</c:v>
                </c:pt>
                <c:pt idx="20">
                  <c:v>43.057753695602884</c:v>
                </c:pt>
                <c:pt idx="21">
                  <c:v>42.875581303821122</c:v>
                </c:pt>
                <c:pt idx="22">
                  <c:v>42.685693260801962</c:v>
                </c:pt>
                <c:pt idx="23">
                  <c:v>42.488465653574266</c:v>
                </c:pt>
                <c:pt idx="24">
                  <c:v>42.284261318097613</c:v>
                </c:pt>
                <c:pt idx="25">
                  <c:v>42.07342983926236</c:v>
                </c:pt>
                <c:pt idx="26">
                  <c:v>41.856307550889596</c:v>
                </c:pt>
                <c:pt idx="27">
                  <c:v>41.633217535731177</c:v>
                </c:pt>
                <c:pt idx="28">
                  <c:v>41.404469625469673</c:v>
                </c:pt>
                <c:pt idx="29">
                  <c:v>41.170360400718437</c:v>
                </c:pt>
                <c:pt idx="30">
                  <c:v>40.931173191021571</c:v>
                </c:pt>
                <c:pt idx="31">
                  <c:v>40.687178074853911</c:v>
                </c:pt>
                <c:pt idx="32">
                  <c:v>40.438631879621042</c:v>
                </c:pt>
                <c:pt idx="33">
                  <c:v>40.185778181659323</c:v>
                </c:pt>
                <c:pt idx="34">
                  <c:v>39.928847306235845</c:v>
                </c:pt>
                <c:pt idx="35">
                  <c:v>39.668056327548449</c:v>
                </c:pt>
                <c:pt idx="36">
                  <c:v>39.403609068725707</c:v>
                </c:pt>
                <c:pt idx="37">
                  <c:v>39.135696101826994</c:v>
                </c:pt>
                <c:pt idx="38">
                  <c:v>38.8644947478424</c:v>
                </c:pt>
                <c:pt idx="39">
                  <c:v>38.590169076692746</c:v>
                </c:pt>
                <c:pt idx="40">
                  <c:v>38.312869907229647</c:v>
                </c:pt>
                <c:pt idx="41">
                  <c:v>38.032734807235428</c:v>
                </c:pt>
                <c:pt idx="42">
                  <c:v>37.749888093423195</c:v>
                </c:pt>
                <c:pt idx="43">
                  <c:v>37.464440831436789</c:v>
                </c:pt>
                <c:pt idx="44">
                  <c:v>37.176490835850807</c:v>
                </c:pt>
                <c:pt idx="45">
                  <c:v>36.886122670170586</c:v>
                </c:pt>
                <c:pt idx="46">
                  <c:v>36.593407646832205</c:v>
                </c:pt>
                <c:pt idx="47">
                  <c:v>36.298403827202534</c:v>
                </c:pt>
                <c:pt idx="48">
                  <c:v>36.001156021579156</c:v>
                </c:pt>
                <c:pt idx="49">
                  <c:v>35.70169578919041</c:v>
                </c:pt>
                <c:pt idx="50">
                  <c:v>35.40004143819538</c:v>
                </c:pt>
                <c:pt idx="51">
                  <c:v>35.096198025683933</c:v>
                </c:pt>
                <c:pt idx="52">
                  <c:v>34.790157357676648</c:v>
                </c:pt>
                <c:pt idx="53">
                  <c:v>34.481897989124853</c:v>
                </c:pt>
                <c:pt idx="54">
                  <c:v>34.171385223910661</c:v>
                </c:pt>
                <c:pt idx="55">
                  <c:v>33.85857111484691</c:v>
                </c:pt>
                <c:pt idx="56">
                  <c:v>33.54339446367721</c:v>
                </c:pt>
                <c:pt idx="57">
                  <c:v>33.225780821075858</c:v>
                </c:pt>
                <c:pt idx="58">
                  <c:v>32.905642486647992</c:v>
                </c:pt>
                <c:pt idx="59">
                  <c:v>32.582878508929426</c:v>
                </c:pt>
                <c:pt idx="60">
                  <c:v>32.257374685386779</c:v>
                </c:pt>
                <c:pt idx="61">
                  <c:v>31.92900356241736</c:v>
                </c:pt>
                <c:pt idx="62">
                  <c:v>31.597624435349282</c:v>
                </c:pt>
                <c:pt idx="63">
                  <c:v>31.263083348441391</c:v>
                </c:pt>
                <c:pt idx="64">
                  <c:v>30.925213094883272</c:v>
                </c:pt>
                <c:pt idx="65">
                  <c:v>30.583833216795263</c:v>
                </c:pt>
                <c:pt idx="66">
                  <c:v>30.238750005228482</c:v>
                </c:pt>
                <c:pt idx="67">
                  <c:v>29.88975650016474</c:v>
                </c:pt>
                <c:pt idx="68">
                  <c:v>29.536632490516631</c:v>
                </c:pt>
                <c:pt idx="69">
                  <c:v>29.179144514127515</c:v>
                </c:pt>
                <c:pt idx="70">
                  <c:v>28.817045857771475</c:v>
                </c:pt>
                <c:pt idx="71">
                  <c:v>28.450076557153345</c:v>
                </c:pt>
                <c:pt idx="72">
                  <c:v>28.077963396908757</c:v>
                </c:pt>
                <c:pt idx="73">
                  <c:v>27.700419910603998</c:v>
                </c:pt>
                <c:pt idx="74">
                  <c:v>27.31714638073619</c:v>
                </c:pt>
                <c:pt idx="75">
                  <c:v>26.927829838733167</c:v>
                </c:pt>
                <c:pt idx="76">
                  <c:v>26.532144064953531</c:v>
                </c:pt>
                <c:pt idx="77">
                  <c:v>26.129749588686614</c:v>
                </c:pt>
                <c:pt idx="78">
                  <c:v>25.720293688152509</c:v>
                </c:pt>
                <c:pt idx="79">
                  <c:v>25.303410390502066</c:v>
                </c:pt>
                <c:pt idx="80">
                  <c:v>24.878720471816884</c:v>
                </c:pt>
                <c:pt idx="81">
                  <c:v>24.445831457109264</c:v>
                </c:pt>
                <c:pt idx="82">
                  <c:v>24.004337620322342</c:v>
                </c:pt>
                <c:pt idx="83">
                  <c:v>23.553819984329945</c:v>
                </c:pt>
                <c:pt idx="84">
                  <c:v>23.09384632093666</c:v>
                </c:pt>
                <c:pt idx="85">
                  <c:v>22.623971150877839</c:v>
                </c:pt>
                <c:pt idx="86">
                  <c:v>22.143735743819562</c:v>
                </c:pt>
                <c:pt idx="87">
                  <c:v>21.652668118358687</c:v>
                </c:pt>
                <c:pt idx="88">
                  <c:v>21.150283042022771</c:v>
                </c:pt>
                <c:pt idx="89">
                  <c:v>20.636082031270185</c:v>
                </c:pt>
                <c:pt idx="90">
                  <c:v>20.109553351490035</c:v>
                </c:pt>
                <c:pt idx="91">
                  <c:v>19.570172017002129</c:v>
                </c:pt>
                <c:pt idx="92">
                  <c:v>19.017399791057073</c:v>
                </c:pt>
                <c:pt idx="93">
                  <c:v>18.450685185836218</c:v>
                </c:pt>
                <c:pt idx="94">
                  <c:v>17.869463462451659</c:v>
                </c:pt>
                <c:pt idx="95">
                  <c:v>17.273156630946197</c:v>
                </c:pt>
                <c:pt idx="96">
                  <c:v>16.661173450293472</c:v>
                </c:pt>
                <c:pt idx="97">
                  <c:v>16.032909428397769</c:v>
                </c:pt>
                <c:pt idx="98">
                  <c:v>15.387746822094256</c:v>
                </c:pt>
                <c:pt idx="99">
                  <c:v>14.725054637148713</c:v>
                </c:pt>
                <c:pt idx="100">
                  <c:v>14.044188628257769</c:v>
                </c:pt>
              </c:numCache>
            </c:numRef>
          </c:yVal>
          <c:smooth val="0"/>
          <c:extLst>
            <c:ext xmlns:c16="http://schemas.microsoft.com/office/drawing/2014/chart" uri="{C3380CC4-5D6E-409C-BE32-E72D297353CC}">
              <c16:uniqueId val="{00000000-A875-4408-854D-8D7538D2AEAE}"/>
            </c:ext>
          </c:extLst>
        </c:ser>
        <c:ser>
          <c:idx val="1"/>
          <c:order val="1"/>
          <c:tx>
            <c:v>サンプルデータ</c:v>
          </c:tx>
          <c:spPr>
            <a:ln w="19050" cap="rnd">
              <a:noFill/>
              <a:round/>
            </a:ln>
            <a:effectLst/>
          </c:spPr>
          <c:marker>
            <c:symbol val="circle"/>
            <c:size val="8"/>
            <c:spPr>
              <a:noFill/>
              <a:ln w="9525">
                <a:solidFill>
                  <a:schemeClr val="accent1"/>
                </a:solidFill>
              </a:ln>
              <a:effectLst/>
            </c:spPr>
          </c:marker>
          <c:xVal>
            <c:numRef>
              <c:f>'C1'!$FP$14:$FP$1013</c:f>
              <c:numCache>
                <c:formatCode>General</c:formatCode>
                <c:ptCount val="1000"/>
                <c:pt idx="0">
                  <c:v>14.842300559999998</c:v>
                </c:pt>
                <c:pt idx="1">
                  <c:v>163.26530610000003</c:v>
                </c:pt>
                <c:pt idx="2">
                  <c:v>326.53061220000006</c:v>
                </c:pt>
                <c:pt idx="3">
                  <c:v>482.37476809999998</c:v>
                </c:pt>
                <c:pt idx="4">
                  <c:v>667.90352499999983</c:v>
                </c:pt>
                <c:pt idx="5">
                  <c:v>823.74768090000009</c:v>
                </c:pt>
                <c:pt idx="6">
                  <c:v>935.06493509999996</c:v>
                </c:pt>
                <c:pt idx="7">
                  <c:v>1046.3821889999999</c:v>
                </c:pt>
                <c:pt idx="8">
                  <c:v>1179.962894</c:v>
                </c:pt>
                <c:pt idx="9">
                  <c:v>1350.649351</c:v>
                </c:pt>
                <c:pt idx="10">
                  <c:v>1528.7569570000003</c:v>
                </c:pt>
                <c:pt idx="11">
                  <c:v>1721.7068650000006</c:v>
                </c:pt>
                <c:pt idx="12">
                  <c:v>1870.1298699999998</c:v>
                </c:pt>
                <c:pt idx="13">
                  <c:v>2063.0797769999999</c:v>
                </c:pt>
                <c:pt idx="14">
                  <c:v>2211.5027829999995</c:v>
                </c:pt>
                <c:pt idx="15">
                  <c:v>2404.4526900000005</c:v>
                </c:pt>
                <c:pt idx="16">
                  <c:v>2619.666048</c:v>
                </c:pt>
                <c:pt idx="17">
                  <c:v>2812.6159550000007</c:v>
                </c:pt>
                <c:pt idx="18">
                  <c:v>2953.6178110000001</c:v>
                </c:pt>
                <c:pt idx="19">
                  <c:v>3072.3562149999993</c:v>
                </c:pt>
                <c:pt idx="20">
                  <c:v>3191.0946199999998</c:v>
                </c:pt>
                <c:pt idx="21">
                  <c:v>3361.7810760000016</c:v>
                </c:pt>
                <c:pt idx="22">
                  <c:v>3465.6771800000001</c:v>
                </c:pt>
                <c:pt idx="23">
                  <c:v>3569.5732840000001</c:v>
                </c:pt>
                <c:pt idx="24">
                  <c:v>3703.1539889999999</c:v>
                </c:pt>
                <c:pt idx="25">
                  <c:v>3836.7346940000007</c:v>
                </c:pt>
                <c:pt idx="26">
                  <c:v>3962.8942489999995</c:v>
                </c:pt>
                <c:pt idx="27">
                  <c:v>4103.8961040000004</c:v>
                </c:pt>
                <c:pt idx="28">
                  <c:v>4207.7922079999998</c:v>
                </c:pt>
                <c:pt idx="29">
                  <c:v>4296.8460109999987</c:v>
                </c:pt>
                <c:pt idx="30">
                  <c:v>4371.0575140000001</c:v>
                </c:pt>
                <c:pt idx="31">
                  <c:v>4437.8478660000001</c:v>
                </c:pt>
                <c:pt idx="32">
                  <c:v>4512.0593689999987</c:v>
                </c:pt>
                <c:pt idx="33">
                  <c:v>4601.1131730000006</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'C1'!$FO$14:$FO$1013</c:f>
              <c:numCache>
                <c:formatCode>General</c:formatCode>
                <c:ptCount val="1000"/>
                <c:pt idx="0">
                  <c:v>44.423963130000004</c:v>
                </c:pt>
                <c:pt idx="1">
                  <c:v>44.516129029999995</c:v>
                </c:pt>
                <c:pt idx="2">
                  <c:v>44.33179724</c:v>
                </c:pt>
                <c:pt idx="3">
                  <c:v>44.423963130000004</c:v>
                </c:pt>
                <c:pt idx="4">
                  <c:v>43.963133640000002</c:v>
                </c:pt>
                <c:pt idx="5">
                  <c:v>43.502304150000008</c:v>
                </c:pt>
                <c:pt idx="6">
                  <c:v>43.133640550000003</c:v>
                </c:pt>
                <c:pt idx="7">
                  <c:v>42.764976959999991</c:v>
                </c:pt>
                <c:pt idx="8">
                  <c:v>42.027649769999996</c:v>
                </c:pt>
                <c:pt idx="9">
                  <c:v>41.198156680000004</c:v>
                </c:pt>
                <c:pt idx="10">
                  <c:v>40.092165899999991</c:v>
                </c:pt>
                <c:pt idx="11">
                  <c:v>38.986175119999999</c:v>
                </c:pt>
                <c:pt idx="12">
                  <c:v>37.972350230000004</c:v>
                </c:pt>
                <c:pt idx="13">
                  <c:v>37.050691240000006</c:v>
                </c:pt>
                <c:pt idx="14">
                  <c:v>35.944700460000014</c:v>
                </c:pt>
                <c:pt idx="15">
                  <c:v>34.562211980000008</c:v>
                </c:pt>
                <c:pt idx="16">
                  <c:v>33.179723500000009</c:v>
                </c:pt>
                <c:pt idx="17">
                  <c:v>31.981566820000001</c:v>
                </c:pt>
                <c:pt idx="18">
                  <c:v>31.059907830000004</c:v>
                </c:pt>
                <c:pt idx="19">
                  <c:v>30.046082949999999</c:v>
                </c:pt>
                <c:pt idx="20">
                  <c:v>29.124423959999998</c:v>
                </c:pt>
                <c:pt idx="21">
                  <c:v>28.110599080000004</c:v>
                </c:pt>
                <c:pt idx="22">
                  <c:v>27.004608289999997</c:v>
                </c:pt>
                <c:pt idx="23">
                  <c:v>25.898617510000001</c:v>
                </c:pt>
                <c:pt idx="24">
                  <c:v>24.608294930000003</c:v>
                </c:pt>
                <c:pt idx="25">
                  <c:v>23.317972350000002</c:v>
                </c:pt>
                <c:pt idx="26">
                  <c:v>22.119815669999994</c:v>
                </c:pt>
                <c:pt idx="27">
                  <c:v>20.460829489999995</c:v>
                </c:pt>
                <c:pt idx="28">
                  <c:v>19.170506910000004</c:v>
                </c:pt>
                <c:pt idx="29">
                  <c:v>18.064516129999998</c:v>
                </c:pt>
                <c:pt idx="30">
                  <c:v>17.142857140000004</c:v>
                </c:pt>
                <c:pt idx="31">
                  <c:v>16.221198160000004</c:v>
                </c:pt>
                <c:pt idx="32">
                  <c:v>15.483870970000003</c:v>
                </c:pt>
                <c:pt idx="33">
                  <c:v>14.377880179999998</c:v>
                </c:pt>
              </c:numCache>
            </c:numRef>
          </c:yVal>
          <c:smooth val="0"/>
          <c:extLst>
            <c:ext xmlns:c16="http://schemas.microsoft.com/office/drawing/2014/chart" uri="{C3380CC4-5D6E-409C-BE32-E72D297353CC}">
              <c16:uniqueId val="{00000000-DBCD-42AD-B616-A8DA7D9159CD}"/>
            </c:ext>
          </c:extLst>
        </c:ser>
        <c:dLbls>
          <c:showLegendKey val="0"/>
          <c:showVal val="0"/>
          <c:showCatName val="0"/>
          <c:showSerName val="0"/>
          <c:showPercent val="0"/>
          <c:showBubbleSize val="0"/>
        </c:dLbls>
        <c:axId val="1866239839"/>
        <c:axId val="1705784463"/>
      </c:scatterChart>
      <c:scatterChart>
        <c:scatterStyle val="lineMarker"/>
        <c:varyColors val="0"/>
        <c:ser>
          <c:idx val="2"/>
          <c:order val="2"/>
          <c:tx>
            <c:v>定格流量</c:v>
          </c:tx>
          <c:spPr>
            <a:ln w="19050" cap="rnd">
              <a:solidFill>
                <a:srgbClr val="FF0000"/>
              </a:solidFill>
              <a:prstDash val="sysDot"/>
              <a:round/>
            </a:ln>
            <a:effectLst/>
          </c:spPr>
          <c:marker>
            <c:symbol val="none"/>
          </c:marker>
          <c:xVal>
            <c:numRef>
              <c:f>'C1'!$FT$14:$FT$15</c:f>
              <c:numCache>
                <c:formatCode>General</c:formatCode>
                <c:ptCount val="2"/>
                <c:pt idx="0">
                  <c:v>2550</c:v>
                </c:pt>
                <c:pt idx="1">
                  <c:v>2550</c:v>
                </c:pt>
              </c:numCache>
            </c:numRef>
          </c:xVal>
          <c:yVal>
            <c:numRef>
              <c:f>'C1'!$FS$14:$FS$15</c:f>
              <c:numCache>
                <c:formatCode>General</c:formatCode>
                <c:ptCount val="2"/>
                <c:pt idx="0">
                  <c:v>0</c:v>
                </c:pt>
                <c:pt idx="1">
                  <c:v>1</c:v>
                </c:pt>
              </c:numCache>
            </c:numRef>
          </c:yVal>
          <c:smooth val="0"/>
          <c:extLst>
            <c:ext xmlns:c16="http://schemas.microsoft.com/office/drawing/2014/chart" uri="{C3380CC4-5D6E-409C-BE32-E72D297353CC}">
              <c16:uniqueId val="{00000001-3073-47BC-B9C0-307CD41B8992}"/>
            </c:ext>
          </c:extLst>
        </c:ser>
        <c:dLbls>
          <c:showLegendKey val="0"/>
          <c:showVal val="0"/>
          <c:showCatName val="0"/>
          <c:showSerName val="0"/>
          <c:showPercent val="0"/>
          <c:showBubbleSize val="0"/>
        </c:dLbls>
        <c:axId val="594222575"/>
        <c:axId val="594222079"/>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strRef>
              <c:f>'C1'!$FI$13</c:f>
              <c:strCache>
                <c:ptCount val="1"/>
                <c:pt idx="0">
                  <c:v>L/s</c:v>
                </c:pt>
              </c:strCache>
            </c:strRef>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strRef>
              <c:f>'C1'!$FH$13</c:f>
              <c:strCache>
                <c:ptCount val="1"/>
                <c:pt idx="0">
                  <c:v>m</c:v>
                </c:pt>
              </c:strCache>
            </c:strRef>
          </c:tx>
          <c:layout>
            <c:manualLayout>
              <c:xMode val="edge"/>
              <c:yMode val="edge"/>
              <c:x val="2.4939783761597713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valAx>
        <c:axId val="594222079"/>
        <c:scaling>
          <c:orientation val="minMax"/>
          <c:max val="1"/>
        </c:scaling>
        <c:delete val="0"/>
        <c:axPos val="r"/>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4222575"/>
        <c:crosses val="max"/>
        <c:crossBetween val="midCat"/>
      </c:valAx>
      <c:valAx>
        <c:axId val="594222575"/>
        <c:scaling>
          <c:orientation val="minMax"/>
        </c:scaling>
        <c:delete val="1"/>
        <c:axPos val="b"/>
        <c:numFmt formatCode="General" sourceLinked="1"/>
        <c:majorTickMark val="out"/>
        <c:minorTickMark val="none"/>
        <c:tickLblPos val="nextTo"/>
        <c:crossAx val="594222079"/>
        <c:crosses val="autoZero"/>
        <c:crossBetween val="midCat"/>
      </c:valAx>
      <c:spPr>
        <a:solidFill>
          <a:schemeClr val="bg1"/>
        </a:solidFill>
        <a:ln>
          <a:noFill/>
        </a:ln>
        <a:effectLst/>
      </c:spPr>
    </c:plotArea>
    <c:legend>
      <c:legendPos val="t"/>
      <c:layout>
        <c:manualLayout>
          <c:xMode val="edge"/>
          <c:yMode val="edge"/>
          <c:x val="0.41360508948727093"/>
          <c:y val="4.9382716049382715E-3"/>
          <c:w val="0.58639491051272907"/>
          <c:h val="5.5555944395839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9949774796668"/>
          <c:y val="6.7644211140274135E-2"/>
          <c:w val="0.78011967639847479"/>
          <c:h val="0.79875856258708411"/>
        </c:manualLayout>
      </c:layout>
      <c:scatterChart>
        <c:scatterStyle val="lineMarker"/>
        <c:varyColors val="0"/>
        <c:ser>
          <c:idx val="0"/>
          <c:order val="0"/>
          <c:tx>
            <c:v>外挿区間</c:v>
          </c:tx>
          <c:spPr>
            <a:ln w="12700" cap="rnd">
              <a:solidFill>
                <a:schemeClr val="bg1">
                  <a:lumMod val="65000"/>
                </a:schemeClr>
              </a:solidFill>
              <a:prstDash val="sysDash"/>
              <a:round/>
            </a:ln>
            <a:effectLst/>
          </c:spPr>
          <c:marker>
            <c:symbol val="none"/>
          </c:marker>
          <c:xVal>
            <c:numRef>
              <c:f>'C2'!$AX$14:$AX$1013</c:f>
              <c:numCache>
                <c:formatCode>General</c:formatCode>
                <c:ptCount val="1000"/>
                <c:pt idx="0">
                  <c:v>-1.4200966583333334</c:v>
                </c:pt>
                <c:pt idx="1">
                  <c:v>-1.3348908588333335</c:v>
                </c:pt>
                <c:pt idx="2">
                  <c:v>-1.2496850593333335</c:v>
                </c:pt>
                <c:pt idx="3">
                  <c:v>-1.1644792598333336</c:v>
                </c:pt>
                <c:pt idx="4">
                  <c:v>-1.0792734603333334</c:v>
                </c:pt>
                <c:pt idx="5">
                  <c:v>-0.99406766083333342</c:v>
                </c:pt>
                <c:pt idx="6">
                  <c:v>-0.90886186133333347</c:v>
                </c:pt>
                <c:pt idx="7">
                  <c:v>-0.8236560618333334</c:v>
                </c:pt>
                <c:pt idx="8">
                  <c:v>-0.73845026233333344</c:v>
                </c:pt>
                <c:pt idx="9">
                  <c:v>-0.65324446283333348</c:v>
                </c:pt>
                <c:pt idx="10">
                  <c:v>-0.56803866333333342</c:v>
                </c:pt>
                <c:pt idx="11">
                  <c:v>-0.48283286383333346</c:v>
                </c:pt>
                <c:pt idx="12">
                  <c:v>-0.3976270643333335</c:v>
                </c:pt>
                <c:pt idx="13">
                  <c:v>-0.31242126483333355</c:v>
                </c:pt>
                <c:pt idx="14">
                  <c:v>-0.22721546533333337</c:v>
                </c:pt>
                <c:pt idx="15">
                  <c:v>-0.14200966583333341</c:v>
                </c:pt>
                <c:pt idx="16">
                  <c:v>-5.6803866333333453E-2</c:v>
                </c:pt>
                <c:pt idx="17">
                  <c:v>2.8401933166666504E-2</c:v>
                </c:pt>
                <c:pt idx="18">
                  <c:v>0.11360773266666646</c:v>
                </c:pt>
                <c:pt idx="19">
                  <c:v>0.19881353216666664</c:v>
                </c:pt>
                <c:pt idx="20">
                  <c:v>0.2840193316666666</c:v>
                </c:pt>
                <c:pt idx="21">
                  <c:v>0.36922513116666655</c:v>
                </c:pt>
                <c:pt idx="22">
                  <c:v>0.45443093066666651</c:v>
                </c:pt>
                <c:pt idx="23">
                  <c:v>0.53963673016666647</c:v>
                </c:pt>
                <c:pt idx="24">
                  <c:v>0.62484252966666642</c:v>
                </c:pt>
                <c:pt idx="25">
                  <c:v>0.7100483291666666</c:v>
                </c:pt>
                <c:pt idx="26">
                  <c:v>0.79525412866666634</c:v>
                </c:pt>
                <c:pt idx="27">
                  <c:v>0.88045992816666652</c:v>
                </c:pt>
                <c:pt idx="28">
                  <c:v>0.9656657276666667</c:v>
                </c:pt>
                <c:pt idx="29">
                  <c:v>1.0508715271666664</c:v>
                </c:pt>
                <c:pt idx="30">
                  <c:v>1.1360773266666666</c:v>
                </c:pt>
                <c:pt idx="31">
                  <c:v>1.2212831261666663</c:v>
                </c:pt>
                <c:pt idx="32">
                  <c:v>1.3064889256666665</c:v>
                </c:pt>
                <c:pt idx="33">
                  <c:v>1.3916947251666667</c:v>
                </c:pt>
                <c:pt idx="34">
                  <c:v>1.4769005246666664</c:v>
                </c:pt>
                <c:pt idx="35">
                  <c:v>1.5621063241666666</c:v>
                </c:pt>
                <c:pt idx="36">
                  <c:v>1.6473121236666664</c:v>
                </c:pt>
                <c:pt idx="37">
                  <c:v>1.7325179231666665</c:v>
                </c:pt>
                <c:pt idx="38">
                  <c:v>1.8177237226666667</c:v>
                </c:pt>
                <c:pt idx="39">
                  <c:v>1.9029295221666664</c:v>
                </c:pt>
                <c:pt idx="40">
                  <c:v>1.9881353216666666</c:v>
                </c:pt>
                <c:pt idx="41">
                  <c:v>2.0733411211666661</c:v>
                </c:pt>
                <c:pt idx="42">
                  <c:v>2.1585469206666668</c:v>
                </c:pt>
                <c:pt idx="43">
                  <c:v>2.2437527201666665</c:v>
                </c:pt>
                <c:pt idx="44">
                  <c:v>2.3289585196666662</c:v>
                </c:pt>
                <c:pt idx="45">
                  <c:v>2.4141643191666668</c:v>
                </c:pt>
                <c:pt idx="46">
                  <c:v>2.4993701186666666</c:v>
                </c:pt>
                <c:pt idx="47">
                  <c:v>2.5845759181666663</c:v>
                </c:pt>
                <c:pt idx="48">
                  <c:v>2.6697817176666661</c:v>
                </c:pt>
                <c:pt idx="49">
                  <c:v>2.7549875171666667</c:v>
                </c:pt>
                <c:pt idx="50">
                  <c:v>2.8401933166666664</c:v>
                </c:pt>
                <c:pt idx="51">
                  <c:v>2.9253991161666661</c:v>
                </c:pt>
                <c:pt idx="52">
                  <c:v>3.0106049156666659</c:v>
                </c:pt>
                <c:pt idx="53">
                  <c:v>3.0958107151666665</c:v>
                </c:pt>
                <c:pt idx="54">
                  <c:v>3.1810165146666662</c:v>
                </c:pt>
                <c:pt idx="55">
                  <c:v>3.266222314166666</c:v>
                </c:pt>
                <c:pt idx="56">
                  <c:v>3.3514281136666666</c:v>
                </c:pt>
                <c:pt idx="57">
                  <c:v>3.4366339131666663</c:v>
                </c:pt>
                <c:pt idx="58">
                  <c:v>3.5218397126666661</c:v>
                </c:pt>
                <c:pt idx="59">
                  <c:v>3.6070455121666667</c:v>
                </c:pt>
                <c:pt idx="60">
                  <c:v>3.6922513116666664</c:v>
                </c:pt>
                <c:pt idx="61">
                  <c:v>3.7774571111666662</c:v>
                </c:pt>
                <c:pt idx="62">
                  <c:v>3.8626629106666659</c:v>
                </c:pt>
                <c:pt idx="63">
                  <c:v>3.9478687101666665</c:v>
                </c:pt>
                <c:pt idx="64">
                  <c:v>4.0330745096666663</c:v>
                </c:pt>
                <c:pt idx="65">
                  <c:v>4.118280309166666</c:v>
                </c:pt>
                <c:pt idx="66">
                  <c:v>4.2034861086666666</c:v>
                </c:pt>
                <c:pt idx="67">
                  <c:v>4.2886919081666663</c:v>
                </c:pt>
                <c:pt idx="68">
                  <c:v>4.3738977076666661</c:v>
                </c:pt>
                <c:pt idx="69">
                  <c:v>4.4591035071666658</c:v>
                </c:pt>
                <c:pt idx="70">
                  <c:v>4.5443093066666664</c:v>
                </c:pt>
                <c:pt idx="71">
                  <c:v>4.6295151061666662</c:v>
                </c:pt>
                <c:pt idx="72">
                  <c:v>4.7147209056666659</c:v>
                </c:pt>
                <c:pt idx="73">
                  <c:v>4.7999267051666665</c:v>
                </c:pt>
                <c:pt idx="74">
                  <c:v>4.8851325046666663</c:v>
                </c:pt>
                <c:pt idx="75">
                  <c:v>4.970338304166666</c:v>
                </c:pt>
                <c:pt idx="76">
                  <c:v>5.0555441036666666</c:v>
                </c:pt>
                <c:pt idx="77">
                  <c:v>5.1407499031666664</c:v>
                </c:pt>
                <c:pt idx="78">
                  <c:v>5.2259557026666661</c:v>
                </c:pt>
                <c:pt idx="79">
                  <c:v>5.3111615021666658</c:v>
                </c:pt>
                <c:pt idx="80">
                  <c:v>5.3963673016666664</c:v>
                </c:pt>
                <c:pt idx="81">
                  <c:v>5.4815731011666662</c:v>
                </c:pt>
                <c:pt idx="82">
                  <c:v>5.5667789006666659</c:v>
                </c:pt>
                <c:pt idx="83">
                  <c:v>5.6519847001666665</c:v>
                </c:pt>
                <c:pt idx="84">
                  <c:v>5.7371904996666663</c:v>
                </c:pt>
                <c:pt idx="85">
                  <c:v>5.822396299166666</c:v>
                </c:pt>
                <c:pt idx="86">
                  <c:v>5.9076020986666666</c:v>
                </c:pt>
                <c:pt idx="87">
                  <c:v>5.9928078981666664</c:v>
                </c:pt>
                <c:pt idx="88">
                  <c:v>6.0780136976666661</c:v>
                </c:pt>
                <c:pt idx="89">
                  <c:v>6.1632194971666658</c:v>
                </c:pt>
                <c:pt idx="90">
                  <c:v>6.2484252966666665</c:v>
                </c:pt>
                <c:pt idx="91">
                  <c:v>6.3336310961666662</c:v>
                </c:pt>
                <c:pt idx="92">
                  <c:v>6.4188368956666659</c:v>
                </c:pt>
                <c:pt idx="93">
                  <c:v>6.5040426951666666</c:v>
                </c:pt>
                <c:pt idx="94">
                  <c:v>6.5892484946666663</c:v>
                </c:pt>
                <c:pt idx="95">
                  <c:v>6.6744542941666669</c:v>
                </c:pt>
                <c:pt idx="96">
                  <c:v>6.7596600936666658</c:v>
                </c:pt>
                <c:pt idx="97">
                  <c:v>6.8448658931666664</c:v>
                </c:pt>
                <c:pt idx="98">
                  <c:v>6.930071692666667</c:v>
                </c:pt>
                <c:pt idx="99">
                  <c:v>7.0152774921666659</c:v>
                </c:pt>
                <c:pt idx="100">
                  <c:v>7.1004832916666665</c:v>
                </c:pt>
              </c:numCache>
            </c:numRef>
          </c:xVal>
          <c:yVal>
            <c:numRef>
              <c:f>'C2'!$AW$14:$AW$1013</c:f>
              <c:numCache>
                <c:formatCode>General</c:formatCode>
                <c:ptCount val="1000"/>
                <c:pt idx="0">
                  <c:v>-2.1724989861495265</c:v>
                </c:pt>
                <c:pt idx="1">
                  <c:v>-1.9743045340339975</c:v>
                </c:pt>
                <c:pt idx="2">
                  <c:v>-1.7866512597024851</c:v>
                </c:pt>
                <c:pt idx="3">
                  <c:v>-1.6091532331109755</c:v>
                </c:pt>
                <c:pt idx="4">
                  <c:v>-1.4414318223941247</c:v>
                </c:pt>
                <c:pt idx="5">
                  <c:v>-1.283115693865261</c:v>
                </c:pt>
                <c:pt idx="6">
                  <c:v>-1.1338408120163814</c:v>
                </c:pt>
                <c:pt idx="7">
                  <c:v>-0.99325043951815362</c:v>
                </c:pt>
                <c:pt idx="8">
                  <c:v>-0.8609951372199165</c:v>
                </c:pt>
                <c:pt idx="9">
                  <c:v>-0.73673276414967892</c:v>
                </c:pt>
                <c:pt idx="10">
                  <c:v>-0.62012847751411992</c:v>
                </c:pt>
                <c:pt idx="11">
                  <c:v>-0.51085473269858972</c:v>
                </c:pt>
                <c:pt idx="12">
                  <c:v>-0.40859128326710803</c:v>
                </c:pt>
                <c:pt idx="13">
                  <c:v>-0.3130251809623657</c:v>
                </c:pt>
                <c:pt idx="14">
                  <c:v>-0.22385077570572359</c:v>
                </c:pt>
                <c:pt idx="15">
                  <c:v>-0.14076971559721357</c:v>
                </c:pt>
                <c:pt idx="16">
                  <c:v>-6.3490946915537402E-2</c:v>
                </c:pt>
                <c:pt idx="17">
                  <c:v>8.2692858819325837E-3</c:v>
                </c:pt>
                <c:pt idx="18">
                  <c:v>7.4787440159153562E-2</c:v>
                </c:pt>
                <c:pt idx="19">
                  <c:v>0.13633267510141245</c:v>
                </c:pt>
                <c:pt idx="20">
                  <c:v>0.19316685171532527</c:v>
                </c:pt>
                <c:pt idx="21">
                  <c:v>0.24554453282883804</c:v>
                </c:pt>
                <c:pt idx="22">
                  <c:v>0.29371298309122629</c:v>
                </c:pt>
                <c:pt idx="23">
                  <c:v>0.33791216897309495</c:v>
                </c:pt>
                <c:pt idx="24">
                  <c:v>0.3783747587663786</c:v>
                </c:pt>
                <c:pt idx="25">
                  <c:v>0.41532612258434154</c:v>
                </c:pt>
                <c:pt idx="26">
                  <c:v>0.4489843323615772</c:v>
                </c:pt>
                <c:pt idx="27">
                  <c:v>0.47956016185400918</c:v>
                </c:pt>
                <c:pt idx="28">
                  <c:v>0.50725708663889013</c:v>
                </c:pt>
                <c:pt idx="29">
                  <c:v>0.53227128411480229</c:v>
                </c:pt>
                <c:pt idx="30">
                  <c:v>0.55479163350165805</c:v>
                </c:pt>
                <c:pt idx="31">
                  <c:v>0.57499971584069853</c:v>
                </c:pt>
                <c:pt idx="32">
                  <c:v>0.59306981399449499</c:v>
                </c:pt>
                <c:pt idx="33">
                  <c:v>0.60916891264694839</c:v>
                </c:pt>
                <c:pt idx="34">
                  <c:v>0.62345669830328831</c:v>
                </c:pt>
                <c:pt idx="35">
                  <c:v>0.63608555929007515</c:v>
                </c:pt>
                <c:pt idx="36">
                  <c:v>0.6472005857551979</c:v>
                </c:pt>
                <c:pt idx="37">
                  <c:v>0.65693956966787592</c:v>
                </c:pt>
                <c:pt idx="38">
                  <c:v>0.66543300481865697</c:v>
                </c:pt>
                <c:pt idx="39">
                  <c:v>0.67280408681941939</c:v>
                </c:pt>
                <c:pt idx="40">
                  <c:v>0.67916871310337135</c:v>
                </c:pt>
                <c:pt idx="41">
                  <c:v>0.68463548292504961</c:v>
                </c:pt>
                <c:pt idx="42">
                  <c:v>0.68930569736032044</c:v>
                </c:pt>
                <c:pt idx="43">
                  <c:v>0.69327335930638112</c:v>
                </c:pt>
                <c:pt idx="44">
                  <c:v>0.69662517348175657</c:v>
                </c:pt>
                <c:pt idx="45">
                  <c:v>0.69944054642630249</c:v>
                </c:pt>
                <c:pt idx="46">
                  <c:v>0.70179158650120477</c:v>
                </c:pt>
                <c:pt idx="47">
                  <c:v>0.70374310388897632</c:v>
                </c:pt>
                <c:pt idx="48">
                  <c:v>0.70535261059346266</c:v>
                </c:pt>
                <c:pt idx="49">
                  <c:v>0.70667032043983746</c:v>
                </c:pt>
                <c:pt idx="50">
                  <c:v>0.70773914907460256</c:v>
                </c:pt>
                <c:pt idx="51">
                  <c:v>0.70859471396559259</c:v>
                </c:pt>
                <c:pt idx="52">
                  <c:v>0.70926533440196837</c:v>
                </c:pt>
                <c:pt idx="53">
                  <c:v>0.70977203149422374</c:v>
                </c:pt>
                <c:pt idx="54">
                  <c:v>0.71012852817417804</c:v>
                </c:pt>
                <c:pt idx="55">
                  <c:v>0.7103412491949832</c:v>
                </c:pt>
                <c:pt idx="56">
                  <c:v>0.71040932113112087</c:v>
                </c:pt>
                <c:pt idx="57">
                  <c:v>0.71032457237840041</c:v>
                </c:pt>
                <c:pt idx="58">
                  <c:v>0.71007153315396132</c:v>
                </c:pt>
                <c:pt idx="59">
                  <c:v>0.70962743549627239</c:v>
                </c:pt>
                <c:pt idx="60">
                  <c:v>0.70896221326513476</c:v>
                </c:pt>
                <c:pt idx="61">
                  <c:v>0.7080385021416753</c:v>
                </c:pt>
                <c:pt idx="62">
                  <c:v>0.70681163962835059</c:v>
                </c:pt>
                <c:pt idx="63">
                  <c:v>0.70522966504895179</c:v>
                </c:pt>
                <c:pt idx="64">
                  <c:v>0.70323331954859447</c:v>
                </c:pt>
                <c:pt idx="65">
                  <c:v>0.70075604609372433</c:v>
                </c:pt>
                <c:pt idx="66">
                  <c:v>0.69772398947211589</c:v>
                </c:pt>
                <c:pt idx="67">
                  <c:v>0.69405599629288095</c:v>
                </c:pt>
                <c:pt idx="68">
                  <c:v>0.68966361498644813</c:v>
                </c:pt>
                <c:pt idx="69">
                  <c:v>0.68445109580458952</c:v>
                </c:pt>
                <c:pt idx="70">
                  <c:v>0.67831539082039316</c:v>
                </c:pt>
                <c:pt idx="71">
                  <c:v>0.67114615392828703</c:v>
                </c:pt>
                <c:pt idx="72">
                  <c:v>0.66282574084402524</c:v>
                </c:pt>
                <c:pt idx="73">
                  <c:v>0.65322920910468585</c:v>
                </c:pt>
                <c:pt idx="74">
                  <c:v>0.64222431806868774</c:v>
                </c:pt>
                <c:pt idx="75">
                  <c:v>0.62967152891577105</c:v>
                </c:pt>
                <c:pt idx="76">
                  <c:v>0.61542400464700564</c:v>
                </c:pt>
                <c:pt idx="77">
                  <c:v>0.59932761008479507</c:v>
                </c:pt>
                <c:pt idx="78">
                  <c:v>0.58122091187286995</c:v>
                </c:pt>
                <c:pt idx="79">
                  <c:v>0.56093517847629504</c:v>
                </c:pt>
                <c:pt idx="80">
                  <c:v>0.53829438018145148</c:v>
                </c:pt>
                <c:pt idx="81">
                  <c:v>0.51311518909606701</c:v>
                </c:pt>
                <c:pt idx="82">
                  <c:v>0.48520697914918753</c:v>
                </c:pt>
                <c:pt idx="83">
                  <c:v>0.45437182609119131</c:v>
                </c:pt>
                <c:pt idx="84">
                  <c:v>0.42040450749378988</c:v>
                </c:pt>
                <c:pt idx="85">
                  <c:v>0.38309250275001827</c:v>
                </c:pt>
                <c:pt idx="86">
                  <c:v>0.34221599307424477</c:v>
                </c:pt>
                <c:pt idx="87">
                  <c:v>0.29754786150216561</c:v>
                </c:pt>
                <c:pt idx="88">
                  <c:v>0.24885369289081294</c:v>
                </c:pt>
                <c:pt idx="89">
                  <c:v>0.19589177391853885</c:v>
                </c:pt>
                <c:pt idx="90">
                  <c:v>0.13841309308502248</c:v>
                </c:pt>
                <c:pt idx="91">
                  <c:v>7.6161340711288661E-2</c:v>
                </c:pt>
                <c:pt idx="92">
                  <c:v>8.8729089396875072E-3</c:v>
                </c:pt>
                <c:pt idx="93">
                  <c:v>-6.3723108266124262E-2</c:v>
                </c:pt>
                <c:pt idx="94">
                  <c:v>-0.14190491512112735</c:v>
                </c:pt>
                <c:pt idx="95">
                  <c:v>-0.22595801401899585</c:v>
                </c:pt>
                <c:pt idx="96">
                  <c:v>-0.31617520553206435</c:v>
                </c:pt>
                <c:pt idx="97">
                  <c:v>-0.41285658841133865</c:v>
                </c:pt>
                <c:pt idx="98">
                  <c:v>-0.51630955958649749</c:v>
                </c:pt>
                <c:pt idx="99">
                  <c:v>-0.62684881416588456</c:v>
                </c:pt>
                <c:pt idx="100">
                  <c:v>-0.74479634543652984</c:v>
                </c:pt>
              </c:numCache>
            </c:numRef>
          </c:yVal>
          <c:smooth val="0"/>
          <c:extLst>
            <c:ext xmlns:c16="http://schemas.microsoft.com/office/drawing/2014/chart" uri="{C3380CC4-5D6E-409C-BE32-E72D297353CC}">
              <c16:uniqueId val="{00000000-29BD-4F4C-91C5-871B0E88C1B1}"/>
            </c:ext>
          </c:extLst>
        </c:ser>
        <c:ser>
          <c:idx val="2"/>
          <c:order val="1"/>
          <c:tx>
            <c:v>回帰曲線（サンプル範囲）</c:v>
          </c:tx>
          <c:spPr>
            <a:ln w="25400" cap="rnd">
              <a:solidFill>
                <a:schemeClr val="accent1"/>
              </a:solidFill>
              <a:round/>
            </a:ln>
            <a:effectLst/>
          </c:spPr>
          <c:marker>
            <c:symbol val="none"/>
          </c:marker>
          <c:xVal>
            <c:numRef>
              <c:f>'C2'!$BA$14:$BA$1013</c:f>
              <c:numCache>
                <c:formatCode>General</c:formatCode>
                <c:ptCount val="1000"/>
                <c:pt idx="0">
                  <c:v>0</c:v>
                </c:pt>
                <c:pt idx="1">
                  <c:v>5.6803866333333335E-2</c:v>
                </c:pt>
                <c:pt idx="2">
                  <c:v>0.11360773266666667</c:v>
                </c:pt>
                <c:pt idx="3">
                  <c:v>0.170411599</c:v>
                </c:pt>
                <c:pt idx="4">
                  <c:v>0.22721546533333334</c:v>
                </c:pt>
                <c:pt idx="5">
                  <c:v>0.28401933166666665</c:v>
                </c:pt>
                <c:pt idx="6">
                  <c:v>0.34082319799999999</c:v>
                </c:pt>
                <c:pt idx="7">
                  <c:v>0.39762706433333334</c:v>
                </c:pt>
                <c:pt idx="8">
                  <c:v>0.45443093066666668</c:v>
                </c:pt>
                <c:pt idx="9">
                  <c:v>0.51123479699999996</c:v>
                </c:pt>
                <c:pt idx="10">
                  <c:v>0.5680386633333333</c:v>
                </c:pt>
                <c:pt idx="11">
                  <c:v>0.62484252966666665</c:v>
                </c:pt>
                <c:pt idx="12">
                  <c:v>0.68164639599999999</c:v>
                </c:pt>
                <c:pt idx="13">
                  <c:v>0.73845026233333333</c:v>
                </c:pt>
                <c:pt idx="14">
                  <c:v>0.79525412866666667</c:v>
                </c:pt>
                <c:pt idx="15">
                  <c:v>0.85205799500000001</c:v>
                </c:pt>
                <c:pt idx="16">
                  <c:v>0.90886186133333335</c:v>
                </c:pt>
                <c:pt idx="17">
                  <c:v>0.9656657276666667</c:v>
                </c:pt>
                <c:pt idx="18">
                  <c:v>1.0224695939999999</c:v>
                </c:pt>
                <c:pt idx="19">
                  <c:v>1.0792734603333334</c:v>
                </c:pt>
                <c:pt idx="20">
                  <c:v>1.1360773266666666</c:v>
                </c:pt>
                <c:pt idx="21">
                  <c:v>1.1928811930000001</c:v>
                </c:pt>
                <c:pt idx="22">
                  <c:v>1.2496850593333333</c:v>
                </c:pt>
                <c:pt idx="23">
                  <c:v>1.3064889256666667</c:v>
                </c:pt>
                <c:pt idx="24">
                  <c:v>1.363292792</c:v>
                </c:pt>
                <c:pt idx="25">
                  <c:v>1.4200966583333334</c:v>
                </c:pt>
                <c:pt idx="26">
                  <c:v>1.4769005246666667</c:v>
                </c:pt>
                <c:pt idx="27">
                  <c:v>1.5337043910000001</c:v>
                </c:pt>
                <c:pt idx="28">
                  <c:v>1.5905082573333333</c:v>
                </c:pt>
                <c:pt idx="29">
                  <c:v>1.6473121236666668</c:v>
                </c:pt>
                <c:pt idx="30">
                  <c:v>1.70411599</c:v>
                </c:pt>
                <c:pt idx="31">
                  <c:v>1.7609198563333335</c:v>
                </c:pt>
                <c:pt idx="32">
                  <c:v>1.8177237226666667</c:v>
                </c:pt>
                <c:pt idx="33">
                  <c:v>1.8745275889999999</c:v>
                </c:pt>
                <c:pt idx="34">
                  <c:v>1.9313314553333334</c:v>
                </c:pt>
                <c:pt idx="35">
                  <c:v>1.9881353216666666</c:v>
                </c:pt>
                <c:pt idx="36">
                  <c:v>2.0449391879999999</c:v>
                </c:pt>
                <c:pt idx="37">
                  <c:v>2.1017430543333333</c:v>
                </c:pt>
                <c:pt idx="38">
                  <c:v>2.1585469206666668</c:v>
                </c:pt>
                <c:pt idx="39">
                  <c:v>2.2153507870000002</c:v>
                </c:pt>
                <c:pt idx="40">
                  <c:v>2.2721546533333332</c:v>
                </c:pt>
                <c:pt idx="41">
                  <c:v>2.3289585196666667</c:v>
                </c:pt>
                <c:pt idx="42">
                  <c:v>2.3857623860000001</c:v>
                </c:pt>
                <c:pt idx="43">
                  <c:v>2.4425662523333336</c:v>
                </c:pt>
                <c:pt idx="44">
                  <c:v>2.4993701186666666</c:v>
                </c:pt>
                <c:pt idx="45">
                  <c:v>2.556173985</c:v>
                </c:pt>
                <c:pt idx="46">
                  <c:v>2.6129778513333335</c:v>
                </c:pt>
                <c:pt idx="47">
                  <c:v>2.6697817176666669</c:v>
                </c:pt>
                <c:pt idx="48">
                  <c:v>2.726585584</c:v>
                </c:pt>
                <c:pt idx="49">
                  <c:v>2.7833894503333334</c:v>
                </c:pt>
                <c:pt idx="50">
                  <c:v>2.8401933166666669</c:v>
                </c:pt>
                <c:pt idx="51">
                  <c:v>2.8969971829999999</c:v>
                </c:pt>
                <c:pt idx="52">
                  <c:v>2.9538010493333333</c:v>
                </c:pt>
                <c:pt idx="53">
                  <c:v>3.0106049156666668</c:v>
                </c:pt>
                <c:pt idx="54">
                  <c:v>3.0674087820000002</c:v>
                </c:pt>
                <c:pt idx="55">
                  <c:v>3.1242126483333332</c:v>
                </c:pt>
                <c:pt idx="56">
                  <c:v>3.1810165146666667</c:v>
                </c:pt>
                <c:pt idx="57">
                  <c:v>3.2378203810000001</c:v>
                </c:pt>
                <c:pt idx="58">
                  <c:v>3.2946242473333336</c:v>
                </c:pt>
                <c:pt idx="59">
                  <c:v>3.3514281136666666</c:v>
                </c:pt>
                <c:pt idx="60">
                  <c:v>3.40823198</c:v>
                </c:pt>
                <c:pt idx="61">
                  <c:v>3.4650358463333335</c:v>
                </c:pt>
                <c:pt idx="62">
                  <c:v>3.521839712666667</c:v>
                </c:pt>
                <c:pt idx="63">
                  <c:v>3.578643579</c:v>
                </c:pt>
                <c:pt idx="64">
                  <c:v>3.6354474453333334</c:v>
                </c:pt>
                <c:pt idx="65">
                  <c:v>3.6922513116666669</c:v>
                </c:pt>
                <c:pt idx="66">
                  <c:v>3.7490551779999999</c:v>
                </c:pt>
                <c:pt idx="67">
                  <c:v>3.8058590443333333</c:v>
                </c:pt>
                <c:pt idx="68">
                  <c:v>3.8626629106666668</c:v>
                </c:pt>
                <c:pt idx="69">
                  <c:v>3.9194667770000002</c:v>
                </c:pt>
                <c:pt idx="70">
                  <c:v>3.9762706433333332</c:v>
                </c:pt>
                <c:pt idx="71">
                  <c:v>4.0330745096666671</c:v>
                </c:pt>
                <c:pt idx="72">
                  <c:v>4.0898783759999997</c:v>
                </c:pt>
                <c:pt idx="73">
                  <c:v>4.1466822423333332</c:v>
                </c:pt>
                <c:pt idx="74">
                  <c:v>4.2034861086666666</c:v>
                </c:pt>
                <c:pt idx="75">
                  <c:v>4.2602899750000001</c:v>
                </c:pt>
                <c:pt idx="76">
                  <c:v>4.3170938413333335</c:v>
                </c:pt>
                <c:pt idx="77">
                  <c:v>4.373897707666667</c:v>
                </c:pt>
                <c:pt idx="78">
                  <c:v>4.4307015740000004</c:v>
                </c:pt>
                <c:pt idx="79">
                  <c:v>4.4875054403333339</c:v>
                </c:pt>
                <c:pt idx="80">
                  <c:v>4.5443093066666664</c:v>
                </c:pt>
                <c:pt idx="81">
                  <c:v>4.6011131729999999</c:v>
                </c:pt>
                <c:pt idx="82">
                  <c:v>4.6579170393333333</c:v>
                </c:pt>
                <c:pt idx="83">
                  <c:v>4.7147209056666668</c:v>
                </c:pt>
                <c:pt idx="84">
                  <c:v>4.7715247720000002</c:v>
                </c:pt>
                <c:pt idx="85">
                  <c:v>4.8283286383333337</c:v>
                </c:pt>
                <c:pt idx="86">
                  <c:v>4.8851325046666672</c:v>
                </c:pt>
                <c:pt idx="87">
                  <c:v>4.9419363709999997</c:v>
                </c:pt>
                <c:pt idx="88">
                  <c:v>4.9987402373333332</c:v>
                </c:pt>
                <c:pt idx="89">
                  <c:v>5.0555441036666666</c:v>
                </c:pt>
                <c:pt idx="90">
                  <c:v>5.1123479700000001</c:v>
                </c:pt>
                <c:pt idx="91">
                  <c:v>5.1691518363333335</c:v>
                </c:pt>
                <c:pt idx="92">
                  <c:v>5.225955702666667</c:v>
                </c:pt>
                <c:pt idx="93">
                  <c:v>5.2827595690000004</c:v>
                </c:pt>
                <c:pt idx="94">
                  <c:v>5.3395634353333339</c:v>
                </c:pt>
                <c:pt idx="95">
                  <c:v>5.3963673016666664</c:v>
                </c:pt>
                <c:pt idx="96">
                  <c:v>5.4531711679999999</c:v>
                </c:pt>
                <c:pt idx="97">
                  <c:v>5.5099750343333334</c:v>
                </c:pt>
                <c:pt idx="98">
                  <c:v>5.5667789006666668</c:v>
                </c:pt>
                <c:pt idx="99">
                  <c:v>5.6235827670000003</c:v>
                </c:pt>
                <c:pt idx="100">
                  <c:v>5.6803866333333337</c:v>
                </c:pt>
              </c:numCache>
            </c:numRef>
          </c:xVal>
          <c:yVal>
            <c:numRef>
              <c:f>'C2'!$AZ$14:$AZ$1013</c:f>
              <c:numCache>
                <c:formatCode>General</c:formatCode>
                <c:ptCount val="1000"/>
                <c:pt idx="0">
                  <c:v>-1.5054836501088742E-2</c:v>
                </c:pt>
                <c:pt idx="1">
                  <c:v>3.1011015163351772E-2</c:v>
                </c:pt>
                <c:pt idx="2">
                  <c:v>7.4787440159153729E-2</c:v>
                </c:pt>
                <c:pt idx="3">
                  <c:v>0.11635382895214674</c:v>
                </c:pt>
                <c:pt idx="4">
                  <c:v>0.15578813039262063</c:v>
                </c:pt>
                <c:pt idx="5">
                  <c:v>0.19316685171532533</c:v>
                </c:pt>
                <c:pt idx="6">
                  <c:v>0.22856505853947096</c:v>
                </c:pt>
                <c:pt idx="7">
                  <c:v>0.26205637486872779</c:v>
                </c:pt>
                <c:pt idx="8">
                  <c:v>0.2937129830912264</c:v>
                </c:pt>
                <c:pt idx="9">
                  <c:v>0.32360562397955711</c:v>
                </c:pt>
                <c:pt idx="10">
                  <c:v>0.35180359669077099</c:v>
                </c:pt>
                <c:pt idx="11">
                  <c:v>0.37837475876637877</c:v>
                </c:pt>
                <c:pt idx="12">
                  <c:v>0.40338552613235151</c:v>
                </c:pt>
                <c:pt idx="13">
                  <c:v>0.42690087309912056</c:v>
                </c:pt>
                <c:pt idx="14">
                  <c:v>0.44898433236157731</c:v>
                </c:pt>
                <c:pt idx="15">
                  <c:v>0.46969799499907333</c:v>
                </c:pt>
                <c:pt idx="16">
                  <c:v>0.4891025104754203</c:v>
                </c:pt>
                <c:pt idx="17">
                  <c:v>0.50725708663889013</c:v>
                </c:pt>
                <c:pt idx="18">
                  <c:v>0.52421948972221477</c:v>
                </c:pt>
                <c:pt idx="19">
                  <c:v>0.54004604434258663</c:v>
                </c:pt>
                <c:pt idx="20">
                  <c:v>0.55479163350165805</c:v>
                </c:pt>
                <c:pt idx="21">
                  <c:v>0.56850969858554146</c:v>
                </c:pt>
                <c:pt idx="22">
                  <c:v>0.58125223936480963</c:v>
                </c:pt>
                <c:pt idx="23">
                  <c:v>0.59306981399449521</c:v>
                </c:pt>
                <c:pt idx="24">
                  <c:v>0.60401153901409133</c:v>
                </c:pt>
                <c:pt idx="25">
                  <c:v>0.61412508934755139</c:v>
                </c:pt>
                <c:pt idx="26">
                  <c:v>0.62345669830328831</c:v>
                </c:pt>
                <c:pt idx="27">
                  <c:v>0.63205115757417607</c:v>
                </c:pt>
                <c:pt idx="28">
                  <c:v>0.6399518172375479</c:v>
                </c:pt>
                <c:pt idx="29">
                  <c:v>0.6472005857551979</c:v>
                </c:pt>
                <c:pt idx="30">
                  <c:v>0.65383792997338008</c:v>
                </c:pt>
                <c:pt idx="31">
                  <c:v>0.65990287512280821</c:v>
                </c:pt>
                <c:pt idx="32">
                  <c:v>0.66543300481865697</c:v>
                </c:pt>
                <c:pt idx="33">
                  <c:v>0.67046446106056079</c:v>
                </c:pt>
                <c:pt idx="34">
                  <c:v>0.6750319442326137</c:v>
                </c:pt>
                <c:pt idx="35">
                  <c:v>0.67916871310337135</c:v>
                </c:pt>
                <c:pt idx="36">
                  <c:v>0.68290658482584798</c:v>
                </c:pt>
                <c:pt idx="37">
                  <c:v>0.68627593493751937</c:v>
                </c:pt>
                <c:pt idx="38">
                  <c:v>0.68930569736032044</c:v>
                </c:pt>
                <c:pt idx="39">
                  <c:v>0.6920233644006466</c:v>
                </c:pt>
                <c:pt idx="40">
                  <c:v>0.69445498674935324</c:v>
                </c:pt>
                <c:pt idx="41">
                  <c:v>0.69662517348175657</c:v>
                </c:pt>
                <c:pt idx="42">
                  <c:v>0.69855709205763183</c:v>
                </c:pt>
                <c:pt idx="43">
                  <c:v>0.70027246832121537</c:v>
                </c:pt>
                <c:pt idx="44">
                  <c:v>0.70179158650120477</c:v>
                </c:pt>
                <c:pt idx="45">
                  <c:v>0.70313328921075402</c:v>
                </c:pt>
                <c:pt idx="46">
                  <c:v>0.70431497744748151</c:v>
                </c:pt>
                <c:pt idx="47">
                  <c:v>0.7053526105934631</c:v>
                </c:pt>
                <c:pt idx="48">
                  <c:v>0.70626070641523553</c:v>
                </c:pt>
                <c:pt idx="49">
                  <c:v>0.70705234106379677</c:v>
                </c:pt>
                <c:pt idx="50">
                  <c:v>0.707739149074603</c:v>
                </c:pt>
                <c:pt idx="51">
                  <c:v>0.7083313233675721</c:v>
                </c:pt>
                <c:pt idx="52">
                  <c:v>0.70883761524708122</c:v>
                </c:pt>
                <c:pt idx="53">
                  <c:v>0.70926533440196882</c:v>
                </c:pt>
                <c:pt idx="54">
                  <c:v>0.70962034890553194</c:v>
                </c:pt>
                <c:pt idx="55">
                  <c:v>0.70990708521552892</c:v>
                </c:pt>
                <c:pt idx="56">
                  <c:v>0.71012852817417804</c:v>
                </c:pt>
                <c:pt idx="57">
                  <c:v>0.7102862210081573</c:v>
                </c:pt>
                <c:pt idx="58">
                  <c:v>0.71038026532860488</c:v>
                </c:pt>
                <c:pt idx="59">
                  <c:v>0.71040932113112087</c:v>
                </c:pt>
                <c:pt idx="60">
                  <c:v>0.71037060679576292</c:v>
                </c:pt>
                <c:pt idx="61">
                  <c:v>0.71025989908704967</c:v>
                </c:pt>
                <c:pt idx="62">
                  <c:v>0.71007153315396088</c:v>
                </c:pt>
                <c:pt idx="63">
                  <c:v>0.70979840252993642</c:v>
                </c:pt>
                <c:pt idx="64">
                  <c:v>0.70943195913287371</c:v>
                </c:pt>
                <c:pt idx="65">
                  <c:v>0.70896221326513476</c:v>
                </c:pt>
                <c:pt idx="66">
                  <c:v>0.70837773361353862</c:v>
                </c:pt>
                <c:pt idx="67">
                  <c:v>0.70766564724936365</c:v>
                </c:pt>
                <c:pt idx="68">
                  <c:v>0.70681163962835147</c:v>
                </c:pt>
                <c:pt idx="69">
                  <c:v>0.70579995459070211</c:v>
                </c:pt>
                <c:pt idx="70">
                  <c:v>0.70461339436107662</c:v>
                </c:pt>
                <c:pt idx="71">
                  <c:v>0.70323331954859403</c:v>
                </c:pt>
                <c:pt idx="72">
                  <c:v>0.7016396491468353</c:v>
                </c:pt>
                <c:pt idx="73">
                  <c:v>0.69981086053384334</c:v>
                </c:pt>
                <c:pt idx="74">
                  <c:v>0.69772398947211589</c:v>
                </c:pt>
                <c:pt idx="75">
                  <c:v>0.69535463010861842</c:v>
                </c:pt>
                <c:pt idx="76">
                  <c:v>0.69267693497476857</c:v>
                </c:pt>
                <c:pt idx="77">
                  <c:v>0.68966361498644946</c:v>
                </c:pt>
                <c:pt idx="78">
                  <c:v>0.68628593944400262</c:v>
                </c:pt>
                <c:pt idx="79">
                  <c:v>0.68251373603222887</c:v>
                </c:pt>
                <c:pt idx="80">
                  <c:v>0.67831539082039316</c:v>
                </c:pt>
                <c:pt idx="81">
                  <c:v>0.67365784826221575</c:v>
                </c:pt>
                <c:pt idx="82">
                  <c:v>0.6685066111958784</c:v>
                </c:pt>
                <c:pt idx="83">
                  <c:v>0.66282574084402346</c:v>
                </c:pt>
                <c:pt idx="84">
                  <c:v>0.65657785681375525</c:v>
                </c:pt>
                <c:pt idx="85">
                  <c:v>0.64972413709663468</c:v>
                </c:pt>
                <c:pt idx="86">
                  <c:v>0.64222431806868596</c:v>
                </c:pt>
                <c:pt idx="87">
                  <c:v>0.63403669449039524</c:v>
                </c:pt>
                <c:pt idx="88">
                  <c:v>0.62511811950670038</c:v>
                </c:pt>
                <c:pt idx="89">
                  <c:v>0.61542400464700564</c:v>
                </c:pt>
                <c:pt idx="90">
                  <c:v>0.60490831982517723</c:v>
                </c:pt>
                <c:pt idx="91">
                  <c:v>0.59352359333953708</c:v>
                </c:pt>
                <c:pt idx="92">
                  <c:v>0.58122091187287173</c:v>
                </c:pt>
                <c:pt idx="93">
                  <c:v>0.56794992049242077</c:v>
                </c:pt>
                <c:pt idx="94">
                  <c:v>0.55365882264989374</c:v>
                </c:pt>
                <c:pt idx="95">
                  <c:v>0.53829438018145148</c:v>
                </c:pt>
                <c:pt idx="96">
                  <c:v>0.52180191330771941</c:v>
                </c:pt>
                <c:pt idx="97">
                  <c:v>0.5041253006337858</c:v>
                </c:pt>
                <c:pt idx="98">
                  <c:v>0.48520697914918753</c:v>
                </c:pt>
                <c:pt idx="99">
                  <c:v>0.46498794422793499</c:v>
                </c:pt>
                <c:pt idx="100">
                  <c:v>0.44340774962849516</c:v>
                </c:pt>
              </c:numCache>
            </c:numRef>
          </c:yVal>
          <c:smooth val="0"/>
          <c:extLst>
            <c:ext xmlns:c16="http://schemas.microsoft.com/office/drawing/2014/chart" uri="{C3380CC4-5D6E-409C-BE32-E72D297353CC}">
              <c16:uniqueId val="{00000002-29BD-4F4C-91C5-871B0E88C1B1}"/>
            </c:ext>
          </c:extLst>
        </c:ser>
        <c:ser>
          <c:idx val="1"/>
          <c:order val="2"/>
          <c:tx>
            <c:v>サンプルデータ</c:v>
          </c:tx>
          <c:spPr>
            <a:ln w="19050" cap="rnd">
              <a:noFill/>
              <a:round/>
            </a:ln>
            <a:effectLst/>
          </c:spPr>
          <c:marker>
            <c:symbol val="circle"/>
            <c:size val="5"/>
            <c:spPr>
              <a:solidFill>
                <a:schemeClr val="bg1"/>
              </a:solidFill>
              <a:ln w="9525">
                <a:solidFill>
                  <a:srgbClr val="FF0000"/>
                </a:solidFill>
              </a:ln>
              <a:effectLst/>
            </c:spPr>
          </c:marker>
          <c:xVal>
            <c:numRef>
              <c:f>'C2'!$Q$11:$Q$110</c:f>
              <c:numCache>
                <c:formatCode>General</c:formatCode>
                <c:ptCount val="100"/>
                <c:pt idx="0">
                  <c:v>0</c:v>
                </c:pt>
                <c:pt idx="1">
                  <c:v>8.2457225308641968E-2</c:v>
                </c:pt>
                <c:pt idx="2">
                  <c:v>0.15575253666666669</c:v>
                </c:pt>
                <c:pt idx="3">
                  <c:v>0.22904784814814819</c:v>
                </c:pt>
                <c:pt idx="4">
                  <c:v>0.29318124555555558</c:v>
                </c:pt>
                <c:pt idx="5">
                  <c:v>0.3756384708641976</c:v>
                </c:pt>
                <c:pt idx="6">
                  <c:v>0.46725761012345685</c:v>
                </c:pt>
                <c:pt idx="7">
                  <c:v>0.59552440506172843</c:v>
                </c:pt>
                <c:pt idx="8">
                  <c:v>0.71462928604938281</c:v>
                </c:pt>
                <c:pt idx="9">
                  <c:v>0.86121990888888922</c:v>
                </c:pt>
                <c:pt idx="10">
                  <c:v>0.94367713419753085</c:v>
                </c:pt>
                <c:pt idx="11">
                  <c:v>1.0261343595061732</c:v>
                </c:pt>
                <c:pt idx="12">
                  <c:v>1.0994296708641975</c:v>
                </c:pt>
                <c:pt idx="13">
                  <c:v>1.1727249822222223</c:v>
                </c:pt>
                <c:pt idx="14">
                  <c:v>1.2643441209876543</c:v>
                </c:pt>
                <c:pt idx="15">
                  <c:v>1.4017728308641977</c:v>
                </c:pt>
                <c:pt idx="16">
                  <c:v>1.5575253666666666</c:v>
                </c:pt>
                <c:pt idx="17">
                  <c:v>1.7224398172839508</c:v>
                </c:pt>
                <c:pt idx="18">
                  <c:v>1.8781923543209877</c:v>
                </c:pt>
                <c:pt idx="19">
                  <c:v>2.0797544604938274</c:v>
                </c:pt>
                <c:pt idx="20">
                  <c:v>2.2629927395061733</c:v>
                </c:pt>
                <c:pt idx="21">
                  <c:v>2.4370691037037036</c:v>
                </c:pt>
                <c:pt idx="22">
                  <c:v>2.6294692962962967</c:v>
                </c:pt>
                <c:pt idx="23">
                  <c:v>2.8401933160493833</c:v>
                </c:pt>
                <c:pt idx="24">
                  <c:v>3.0417554222222223</c:v>
                </c:pt>
                <c:pt idx="25">
                  <c:v>3.2341556148148149</c:v>
                </c:pt>
                <c:pt idx="26">
                  <c:v>3.3899081518518512</c:v>
                </c:pt>
                <c:pt idx="27">
                  <c:v>3.6006321716049383</c:v>
                </c:pt>
                <c:pt idx="28">
                  <c:v>3.7930323641975305</c:v>
                </c:pt>
                <c:pt idx="29">
                  <c:v>3.9487849012345682</c:v>
                </c:pt>
                <c:pt idx="30">
                  <c:v>4.077051696296297</c:v>
                </c:pt>
                <c:pt idx="31">
                  <c:v>4.2511280604938273</c:v>
                </c:pt>
                <c:pt idx="32">
                  <c:v>4.3977186839506182</c:v>
                </c:pt>
                <c:pt idx="33">
                  <c:v>4.5443093061728401</c:v>
                </c:pt>
                <c:pt idx="34">
                  <c:v>4.6908999283950621</c:v>
                </c:pt>
                <c:pt idx="35">
                  <c:v>4.8191667234567905</c:v>
                </c:pt>
                <c:pt idx="36">
                  <c:v>4.9657573469135796</c:v>
                </c:pt>
                <c:pt idx="37">
                  <c:v>5.0757003135802465</c:v>
                </c:pt>
                <c:pt idx="38">
                  <c:v>5.2222909370370365</c:v>
                </c:pt>
                <c:pt idx="39">
                  <c:v>5.3597196456790117</c:v>
                </c:pt>
                <c:pt idx="40">
                  <c:v>5.4696626123456795</c:v>
                </c:pt>
                <c:pt idx="41">
                  <c:v>5.5796055790123464</c:v>
                </c:pt>
                <c:pt idx="42">
                  <c:v>5.6803866333333337</c:v>
                </c:pt>
              </c:numCache>
            </c:numRef>
          </c:xVal>
          <c:yVal>
            <c:numRef>
              <c:f>'C2'!$P$11:$P$110</c:f>
              <c:numCache>
                <c:formatCode>General</c:formatCode>
                <c:ptCount val="100"/>
                <c:pt idx="0">
                  <c:v>-5.5813953500000006E-3</c:v>
                </c:pt>
                <c:pt idx="1">
                  <c:v>5.3953488370000004E-2</c:v>
                </c:pt>
                <c:pt idx="2">
                  <c:v>0.1023255814</c:v>
                </c:pt>
                <c:pt idx="3">
                  <c:v>0.1451162791</c:v>
                </c:pt>
                <c:pt idx="4">
                  <c:v>0.18790697670000001</c:v>
                </c:pt>
                <c:pt idx="5">
                  <c:v>0.23255813950000001</c:v>
                </c:pt>
                <c:pt idx="6">
                  <c:v>0.2958139535</c:v>
                </c:pt>
                <c:pt idx="7">
                  <c:v>0.36465116279999998</c:v>
                </c:pt>
                <c:pt idx="8">
                  <c:v>0.41860465120000001</c:v>
                </c:pt>
                <c:pt idx="9">
                  <c:v>0.48930232560000003</c:v>
                </c:pt>
                <c:pt idx="10">
                  <c:v>0.51906976739999999</c:v>
                </c:pt>
                <c:pt idx="11">
                  <c:v>0.54139534879999995</c:v>
                </c:pt>
                <c:pt idx="12">
                  <c:v>0.56186046509999998</c:v>
                </c:pt>
                <c:pt idx="13">
                  <c:v>0.58046511629999997</c:v>
                </c:pt>
                <c:pt idx="14">
                  <c:v>0.59534883720000009</c:v>
                </c:pt>
                <c:pt idx="15">
                  <c:v>0.60651162790000002</c:v>
                </c:pt>
                <c:pt idx="16">
                  <c:v>0.62883720930000009</c:v>
                </c:pt>
                <c:pt idx="17">
                  <c:v>0.63627906980000004</c:v>
                </c:pt>
                <c:pt idx="18">
                  <c:v>0.65302325579999998</c:v>
                </c:pt>
                <c:pt idx="19">
                  <c:v>0.66790697669999999</c:v>
                </c:pt>
                <c:pt idx="20">
                  <c:v>0.68093023259999996</c:v>
                </c:pt>
                <c:pt idx="21">
                  <c:v>0.68837209300000002</c:v>
                </c:pt>
                <c:pt idx="22">
                  <c:v>0.69395348839999993</c:v>
                </c:pt>
                <c:pt idx="23">
                  <c:v>0.70697674420000001</c:v>
                </c:pt>
                <c:pt idx="24">
                  <c:v>0.71069767440000009</c:v>
                </c:pt>
                <c:pt idx="25">
                  <c:v>0.71813953490000004</c:v>
                </c:pt>
                <c:pt idx="26">
                  <c:v>0.72</c:v>
                </c:pt>
                <c:pt idx="27">
                  <c:v>0.72372093019999995</c:v>
                </c:pt>
                <c:pt idx="28">
                  <c:v>0.72372093019999995</c:v>
                </c:pt>
                <c:pt idx="29">
                  <c:v>0.71813953490000004</c:v>
                </c:pt>
                <c:pt idx="30">
                  <c:v>0.71255813950000002</c:v>
                </c:pt>
                <c:pt idx="31">
                  <c:v>0.69953488370000005</c:v>
                </c:pt>
                <c:pt idx="32">
                  <c:v>0.6920930233</c:v>
                </c:pt>
                <c:pt idx="33">
                  <c:v>0.67720930229999998</c:v>
                </c:pt>
                <c:pt idx="34">
                  <c:v>0.66046511630000004</c:v>
                </c:pt>
                <c:pt idx="35">
                  <c:v>0.64186046509999994</c:v>
                </c:pt>
                <c:pt idx="36">
                  <c:v>0.61395348839999997</c:v>
                </c:pt>
                <c:pt idx="37">
                  <c:v>0.59906976739999995</c:v>
                </c:pt>
                <c:pt idx="38">
                  <c:v>0.56744186050000001</c:v>
                </c:pt>
                <c:pt idx="39">
                  <c:v>0.53767441859999998</c:v>
                </c:pt>
                <c:pt idx="40">
                  <c:v>0.51720930230000006</c:v>
                </c:pt>
                <c:pt idx="41">
                  <c:v>0.49116279069999996</c:v>
                </c:pt>
                <c:pt idx="42">
                  <c:v>0.46325581399999999</c:v>
                </c:pt>
              </c:numCache>
            </c:numRef>
          </c:yVal>
          <c:smooth val="0"/>
          <c:extLst>
            <c:ext xmlns:c16="http://schemas.microsoft.com/office/drawing/2014/chart" uri="{C3380CC4-5D6E-409C-BE32-E72D297353CC}">
              <c16:uniqueId val="{00000001-29BD-4F4C-91C5-871B0E88C1B1}"/>
            </c:ext>
          </c:extLst>
        </c:ser>
        <c:dLbls>
          <c:showLegendKey val="0"/>
          <c:showVal val="0"/>
          <c:showCatName val="0"/>
          <c:showSerName val="0"/>
          <c:showPercent val="0"/>
          <c:showBubbleSize val="0"/>
        </c:dLbls>
        <c:axId val="1866239839"/>
        <c:axId val="170578446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C</a:t>
                </a:r>
                <a:r>
                  <a:rPr lang="en-US" altLang="ja-JP" baseline="-25000"/>
                  <a:t>f</a:t>
                </a:r>
                <a:r>
                  <a:rPr lang="en-US" altLang="ja-JP"/>
                  <a:t>[-]</a:t>
                </a:r>
                <a:endParaRPr lang="ja-JP" altLang="en-US"/>
              </a:p>
            </c:rich>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η[-]</a:t>
                </a:r>
                <a:endParaRPr lang="ja-JP" altLang="en-US"/>
              </a:p>
            </c:rich>
          </c:tx>
          <c:layout>
            <c:manualLayout>
              <c:xMode val="edge"/>
              <c:yMode val="edge"/>
              <c:x val="7.9809468260911842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spPr>
        <a:solidFill>
          <a:schemeClr val="bg1"/>
        </a:solidFill>
        <a:ln>
          <a:noFill/>
        </a:ln>
        <a:effectLst/>
      </c:spPr>
    </c:plotArea>
    <c:legend>
      <c:legendPos val="t"/>
      <c:layout>
        <c:manualLayout>
          <c:xMode val="edge"/>
          <c:yMode val="edge"/>
          <c:x val="0"/>
          <c:y val="0"/>
          <c:w val="0.99917695473251034"/>
          <c:h val="6.87246686756747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9949774796668"/>
          <c:y val="6.7644211140274135E-2"/>
          <c:w val="0.78011967639847479"/>
          <c:h val="0.79875856258708411"/>
        </c:manualLayout>
      </c:layout>
      <c:scatterChart>
        <c:scatterStyle val="lineMarker"/>
        <c:varyColors val="0"/>
        <c:ser>
          <c:idx val="0"/>
          <c:order val="0"/>
          <c:tx>
            <c:v>回帰曲線</c:v>
          </c:tx>
          <c:spPr>
            <a:ln w="19050" cap="rnd">
              <a:solidFill>
                <a:schemeClr val="accent1"/>
              </a:solidFill>
              <a:round/>
            </a:ln>
            <a:effectLst/>
          </c:spPr>
          <c:marker>
            <c:symbol val="none"/>
          </c:marker>
          <c:xVal>
            <c:numRef>
              <c:f>'C2'!$BJ$14:$BJ$1013</c:f>
              <c:numCache>
                <c:formatCode>General</c:formatCode>
                <c:ptCount val="1000"/>
                <c:pt idx="0">
                  <c:v>0</c:v>
                </c:pt>
                <c:pt idx="1">
                  <c:v>46.011131730000002</c:v>
                </c:pt>
                <c:pt idx="2">
                  <c:v>92.022263460000005</c:v>
                </c:pt>
                <c:pt idx="3">
                  <c:v>138.03339518999999</c:v>
                </c:pt>
                <c:pt idx="4">
                  <c:v>184.04452692000001</c:v>
                </c:pt>
                <c:pt idx="5">
                  <c:v>230.05565864999997</c:v>
                </c:pt>
                <c:pt idx="6">
                  <c:v>276.06679037999999</c:v>
                </c:pt>
                <c:pt idx="7">
                  <c:v>322.07792210999997</c:v>
                </c:pt>
                <c:pt idx="8">
                  <c:v>368.08905384000002</c:v>
                </c:pt>
                <c:pt idx="9">
                  <c:v>414.10018557000001</c:v>
                </c:pt>
                <c:pt idx="10">
                  <c:v>460.11131729999994</c:v>
                </c:pt>
                <c:pt idx="11">
                  <c:v>506.12244903000004</c:v>
                </c:pt>
                <c:pt idx="12">
                  <c:v>552.13358075999997</c:v>
                </c:pt>
                <c:pt idx="13">
                  <c:v>598.14471248999996</c:v>
                </c:pt>
                <c:pt idx="14">
                  <c:v>644.15584421999995</c:v>
                </c:pt>
                <c:pt idx="15">
                  <c:v>690.16697595000016</c:v>
                </c:pt>
                <c:pt idx="16">
                  <c:v>736.17810768000004</c:v>
                </c:pt>
                <c:pt idx="17">
                  <c:v>782.18923941000003</c:v>
                </c:pt>
                <c:pt idx="18">
                  <c:v>828.20037114000002</c:v>
                </c:pt>
                <c:pt idx="19">
                  <c:v>874.21150287</c:v>
                </c:pt>
                <c:pt idx="20">
                  <c:v>920.22263459999988</c:v>
                </c:pt>
                <c:pt idx="21">
                  <c:v>966.23376633000009</c:v>
                </c:pt>
                <c:pt idx="22">
                  <c:v>1012.2448980600001</c:v>
                </c:pt>
                <c:pt idx="23">
                  <c:v>1058.2560297900002</c:v>
                </c:pt>
                <c:pt idx="24">
                  <c:v>1104.2671615199999</c:v>
                </c:pt>
                <c:pt idx="25">
                  <c:v>1150.2782932500002</c:v>
                </c:pt>
                <c:pt idx="26">
                  <c:v>1196.2894249799999</c:v>
                </c:pt>
                <c:pt idx="27">
                  <c:v>1242.3005567100001</c:v>
                </c:pt>
                <c:pt idx="28">
                  <c:v>1288.3116884399999</c:v>
                </c:pt>
                <c:pt idx="29">
                  <c:v>1334.3228201700001</c:v>
                </c:pt>
                <c:pt idx="30">
                  <c:v>1380.3339519000003</c:v>
                </c:pt>
                <c:pt idx="31">
                  <c:v>1426.3450836300001</c:v>
                </c:pt>
                <c:pt idx="32">
                  <c:v>1472.3562153600001</c:v>
                </c:pt>
                <c:pt idx="33">
                  <c:v>1518.3673470899998</c:v>
                </c:pt>
                <c:pt idx="34">
                  <c:v>1564.3784788200001</c:v>
                </c:pt>
                <c:pt idx="35">
                  <c:v>1610.3896105499998</c:v>
                </c:pt>
                <c:pt idx="36">
                  <c:v>1656.40074228</c:v>
                </c:pt>
                <c:pt idx="37">
                  <c:v>1702.4118740100002</c:v>
                </c:pt>
                <c:pt idx="38">
                  <c:v>1748.42300574</c:v>
                </c:pt>
                <c:pt idx="39">
                  <c:v>1794.43413747</c:v>
                </c:pt>
                <c:pt idx="40">
                  <c:v>1840.4452691999998</c:v>
                </c:pt>
                <c:pt idx="41">
                  <c:v>1886.45640093</c:v>
                </c:pt>
                <c:pt idx="42">
                  <c:v>1932.4675326600002</c:v>
                </c:pt>
                <c:pt idx="43">
                  <c:v>1978.4786643900006</c:v>
                </c:pt>
                <c:pt idx="44">
                  <c:v>2024.4897961200002</c:v>
                </c:pt>
                <c:pt idx="45">
                  <c:v>2070.5009278499997</c:v>
                </c:pt>
                <c:pt idx="46">
                  <c:v>2116.5120595800004</c:v>
                </c:pt>
                <c:pt idx="47">
                  <c:v>2162.5231913100001</c:v>
                </c:pt>
                <c:pt idx="48">
                  <c:v>2208.5343230399999</c:v>
                </c:pt>
                <c:pt idx="49">
                  <c:v>2254.5454547700001</c:v>
                </c:pt>
                <c:pt idx="50">
                  <c:v>2300.5565865000003</c:v>
                </c:pt>
                <c:pt idx="51">
                  <c:v>2346.5677182300001</c:v>
                </c:pt>
                <c:pt idx="52">
                  <c:v>2392.5788499599998</c:v>
                </c:pt>
                <c:pt idx="53">
                  <c:v>2438.5899816900005</c:v>
                </c:pt>
                <c:pt idx="54">
                  <c:v>2484.6011134200003</c:v>
                </c:pt>
                <c:pt idx="55">
                  <c:v>2530.6122451499996</c:v>
                </c:pt>
                <c:pt idx="56">
                  <c:v>2576.6233768799998</c:v>
                </c:pt>
                <c:pt idx="57">
                  <c:v>2622.63450861</c:v>
                </c:pt>
                <c:pt idx="58">
                  <c:v>2668.6456403400002</c:v>
                </c:pt>
                <c:pt idx="59">
                  <c:v>2714.6567720699995</c:v>
                </c:pt>
                <c:pt idx="60">
                  <c:v>2760.6679038000007</c:v>
                </c:pt>
                <c:pt idx="61">
                  <c:v>2806.6790355300004</c:v>
                </c:pt>
                <c:pt idx="62">
                  <c:v>2852.6901672600002</c:v>
                </c:pt>
                <c:pt idx="63">
                  <c:v>2898.7012989899999</c:v>
                </c:pt>
                <c:pt idx="64">
                  <c:v>2944.7124307200002</c:v>
                </c:pt>
                <c:pt idx="65">
                  <c:v>2990.7235624500004</c:v>
                </c:pt>
                <c:pt idx="66">
                  <c:v>3036.7346941799997</c:v>
                </c:pt>
                <c:pt idx="67">
                  <c:v>3082.7458259099999</c:v>
                </c:pt>
                <c:pt idx="68">
                  <c:v>3128.7569576400001</c:v>
                </c:pt>
                <c:pt idx="69">
                  <c:v>3174.7680893699999</c:v>
                </c:pt>
                <c:pt idx="70">
                  <c:v>3220.7792210999996</c:v>
                </c:pt>
                <c:pt idx="71">
                  <c:v>3266.7903528300003</c:v>
                </c:pt>
                <c:pt idx="72">
                  <c:v>3312.8014845600001</c:v>
                </c:pt>
                <c:pt idx="73">
                  <c:v>3358.8126162899998</c:v>
                </c:pt>
                <c:pt idx="74">
                  <c:v>3404.8237480200005</c:v>
                </c:pt>
                <c:pt idx="75">
                  <c:v>3450.8348797499998</c:v>
                </c:pt>
                <c:pt idx="76">
                  <c:v>3496.84601148</c:v>
                </c:pt>
                <c:pt idx="77">
                  <c:v>3542.8571432100002</c:v>
                </c:pt>
                <c:pt idx="78">
                  <c:v>3588.86827494</c:v>
                </c:pt>
                <c:pt idx="79">
                  <c:v>3634.8794066700011</c:v>
                </c:pt>
                <c:pt idx="80">
                  <c:v>3680.8905383999995</c:v>
                </c:pt>
                <c:pt idx="81">
                  <c:v>3726.9016701299993</c:v>
                </c:pt>
                <c:pt idx="82">
                  <c:v>3772.9128018599999</c:v>
                </c:pt>
                <c:pt idx="83">
                  <c:v>3818.9239335900006</c:v>
                </c:pt>
                <c:pt idx="84">
                  <c:v>3864.9350653200004</c:v>
                </c:pt>
                <c:pt idx="85">
                  <c:v>3910.9461970500001</c:v>
                </c:pt>
                <c:pt idx="86">
                  <c:v>3956.9573287800013</c:v>
                </c:pt>
                <c:pt idx="87">
                  <c:v>4002.9684605099997</c:v>
                </c:pt>
                <c:pt idx="88">
                  <c:v>4048.9795922400003</c:v>
                </c:pt>
                <c:pt idx="89">
                  <c:v>4094.9907239700001</c:v>
                </c:pt>
                <c:pt idx="90">
                  <c:v>4141.0018556999994</c:v>
                </c:pt>
                <c:pt idx="91">
                  <c:v>4187.0129874300001</c:v>
                </c:pt>
                <c:pt idx="92">
                  <c:v>4233.0241191600007</c:v>
                </c:pt>
                <c:pt idx="93">
                  <c:v>4279.0352508900005</c:v>
                </c:pt>
                <c:pt idx="94">
                  <c:v>4325.0463826200003</c:v>
                </c:pt>
                <c:pt idx="95">
                  <c:v>4371.0575143499991</c:v>
                </c:pt>
                <c:pt idx="96">
                  <c:v>4417.0686460799998</c:v>
                </c:pt>
                <c:pt idx="97">
                  <c:v>4463.0797778100014</c:v>
                </c:pt>
                <c:pt idx="98">
                  <c:v>4509.0909095400002</c:v>
                </c:pt>
                <c:pt idx="99">
                  <c:v>4555.10204127</c:v>
                </c:pt>
                <c:pt idx="100">
                  <c:v>4601.1131730000006</c:v>
                </c:pt>
              </c:numCache>
            </c:numRef>
          </c:xVal>
          <c:yVal>
            <c:numRef>
              <c:f>'C2'!$BI$14:$BI$1013</c:f>
              <c:numCache>
                <c:formatCode>General</c:formatCode>
                <c:ptCount val="1000"/>
                <c:pt idx="0">
                  <c:v>-1.5054836501088742</c:v>
                </c:pt>
                <c:pt idx="1">
                  <c:v>3.1011015163351772</c:v>
                </c:pt>
                <c:pt idx="2">
                  <c:v>7.4787440159153729</c:v>
                </c:pt>
                <c:pt idx="3">
                  <c:v>11.635382895214674</c:v>
                </c:pt>
                <c:pt idx="4">
                  <c:v>15.578813039262062</c:v>
                </c:pt>
                <c:pt idx="5">
                  <c:v>19.316685171532534</c:v>
                </c:pt>
                <c:pt idx="6">
                  <c:v>22.856505853947095</c:v>
                </c:pt>
                <c:pt idx="7">
                  <c:v>26.205637486872778</c:v>
                </c:pt>
                <c:pt idx="8">
                  <c:v>29.37129830912264</c:v>
                </c:pt>
                <c:pt idx="9">
                  <c:v>32.360562397955711</c:v>
                </c:pt>
                <c:pt idx="10">
                  <c:v>35.180359669077099</c:v>
                </c:pt>
                <c:pt idx="11">
                  <c:v>37.837475876637875</c:v>
                </c:pt>
                <c:pt idx="12">
                  <c:v>40.338552613235152</c:v>
                </c:pt>
                <c:pt idx="13">
                  <c:v>42.690087309912059</c:v>
                </c:pt>
                <c:pt idx="14">
                  <c:v>44.898433236157729</c:v>
                </c:pt>
                <c:pt idx="15">
                  <c:v>46.969799499907332</c:v>
                </c:pt>
                <c:pt idx="16">
                  <c:v>48.910251047542033</c:v>
                </c:pt>
                <c:pt idx="17">
                  <c:v>50.725708663889016</c:v>
                </c:pt>
                <c:pt idx="18">
                  <c:v>52.421948972221479</c:v>
                </c:pt>
                <c:pt idx="19">
                  <c:v>54.00460443425866</c:v>
                </c:pt>
                <c:pt idx="20">
                  <c:v>55.479163350165805</c:v>
                </c:pt>
                <c:pt idx="21">
                  <c:v>56.850969858554144</c:v>
                </c:pt>
                <c:pt idx="22">
                  <c:v>58.125223936480964</c:v>
                </c:pt>
                <c:pt idx="23">
                  <c:v>59.306981399449519</c:v>
                </c:pt>
                <c:pt idx="24">
                  <c:v>60.401153901409131</c:v>
                </c:pt>
                <c:pt idx="25">
                  <c:v>61.412508934755138</c:v>
                </c:pt>
                <c:pt idx="26">
                  <c:v>62.345669830328831</c:v>
                </c:pt>
                <c:pt idx="27">
                  <c:v>63.205115757417609</c:v>
                </c:pt>
                <c:pt idx="28">
                  <c:v>63.99518172375479</c:v>
                </c:pt>
                <c:pt idx="29">
                  <c:v>64.720058575519786</c:v>
                </c:pt>
                <c:pt idx="30">
                  <c:v>65.383792997338006</c:v>
                </c:pt>
                <c:pt idx="31">
                  <c:v>65.990287512280815</c:v>
                </c:pt>
                <c:pt idx="32">
                  <c:v>66.5433004818657</c:v>
                </c:pt>
                <c:pt idx="33">
                  <c:v>67.046446106056081</c:v>
                </c:pt>
                <c:pt idx="34">
                  <c:v>67.503194423261377</c:v>
                </c:pt>
                <c:pt idx="35">
                  <c:v>67.916871310337129</c:v>
                </c:pt>
                <c:pt idx="36">
                  <c:v>68.290658482584803</c:v>
                </c:pt>
                <c:pt idx="37">
                  <c:v>68.627593493751931</c:v>
                </c:pt>
                <c:pt idx="38">
                  <c:v>68.930569736032041</c:v>
                </c:pt>
                <c:pt idx="39">
                  <c:v>69.202336440064656</c:v>
                </c:pt>
                <c:pt idx="40">
                  <c:v>69.445498674935322</c:v>
                </c:pt>
                <c:pt idx="41">
                  <c:v>69.662517348175655</c:v>
                </c:pt>
                <c:pt idx="42">
                  <c:v>69.855709205763191</c:v>
                </c:pt>
                <c:pt idx="43">
                  <c:v>70.027246832121534</c:v>
                </c:pt>
                <c:pt idx="44">
                  <c:v>70.17915865012047</c:v>
                </c:pt>
                <c:pt idx="45">
                  <c:v>70.313328921075396</c:v>
                </c:pt>
                <c:pt idx="46">
                  <c:v>70.431497744748157</c:v>
                </c:pt>
                <c:pt idx="47">
                  <c:v>70.535261059346311</c:v>
                </c:pt>
                <c:pt idx="48">
                  <c:v>70.626070641523555</c:v>
                </c:pt>
                <c:pt idx="49">
                  <c:v>70.705234106379677</c:v>
                </c:pt>
                <c:pt idx="50">
                  <c:v>70.773914907460295</c:v>
                </c:pt>
                <c:pt idx="51">
                  <c:v>70.833132336757217</c:v>
                </c:pt>
                <c:pt idx="52">
                  <c:v>70.88376152470812</c:v>
                </c:pt>
                <c:pt idx="53">
                  <c:v>70.926533440196877</c:v>
                </c:pt>
                <c:pt idx="54">
                  <c:v>70.962034890553198</c:v>
                </c:pt>
                <c:pt idx="55">
                  <c:v>70.990708521552889</c:v>
                </c:pt>
                <c:pt idx="56">
                  <c:v>71.012852817417809</c:v>
                </c:pt>
                <c:pt idx="57">
                  <c:v>71.028622100815724</c:v>
                </c:pt>
                <c:pt idx="58">
                  <c:v>71.038026532860485</c:v>
                </c:pt>
                <c:pt idx="59">
                  <c:v>71.040932113112092</c:v>
                </c:pt>
                <c:pt idx="60">
                  <c:v>71.037060679576285</c:v>
                </c:pt>
                <c:pt idx="61">
                  <c:v>71.025989908704972</c:v>
                </c:pt>
                <c:pt idx="62">
                  <c:v>71.007153315396081</c:v>
                </c:pt>
                <c:pt idx="63">
                  <c:v>70.97984025299364</c:v>
                </c:pt>
                <c:pt idx="64">
                  <c:v>70.943195913287369</c:v>
                </c:pt>
                <c:pt idx="65">
                  <c:v>70.896221326513469</c:v>
                </c:pt>
                <c:pt idx="66">
                  <c:v>70.837773361353868</c:v>
                </c:pt>
                <c:pt idx="67">
                  <c:v>70.766564724936359</c:v>
                </c:pt>
                <c:pt idx="68">
                  <c:v>70.681163962835143</c:v>
                </c:pt>
                <c:pt idx="69">
                  <c:v>70.579995459070204</c:v>
                </c:pt>
                <c:pt idx="70">
                  <c:v>70.461339436107664</c:v>
                </c:pt>
                <c:pt idx="71">
                  <c:v>70.323331954859398</c:v>
                </c:pt>
                <c:pt idx="72">
                  <c:v>70.163964914683532</c:v>
                </c:pt>
                <c:pt idx="73">
                  <c:v>69.981086053384331</c:v>
                </c:pt>
                <c:pt idx="74">
                  <c:v>69.772398947211585</c:v>
                </c:pt>
                <c:pt idx="75">
                  <c:v>69.535463010861847</c:v>
                </c:pt>
                <c:pt idx="76">
                  <c:v>69.267693497476856</c:v>
                </c:pt>
                <c:pt idx="77">
                  <c:v>68.966361498644943</c:v>
                </c:pt>
                <c:pt idx="78">
                  <c:v>68.628593944400265</c:v>
                </c:pt>
                <c:pt idx="79">
                  <c:v>68.251373603222888</c:v>
                </c:pt>
                <c:pt idx="80">
                  <c:v>67.831539082039313</c:v>
                </c:pt>
                <c:pt idx="81">
                  <c:v>67.365784826221571</c:v>
                </c:pt>
                <c:pt idx="82">
                  <c:v>66.850661119587841</c:v>
                </c:pt>
                <c:pt idx="83">
                  <c:v>66.282574084402341</c:v>
                </c:pt>
                <c:pt idx="84">
                  <c:v>65.657785681375529</c:v>
                </c:pt>
                <c:pt idx="85">
                  <c:v>64.972413709663471</c:v>
                </c:pt>
                <c:pt idx="86">
                  <c:v>64.222431806868599</c:v>
                </c:pt>
                <c:pt idx="87">
                  <c:v>63.403669449039526</c:v>
                </c:pt>
                <c:pt idx="88">
                  <c:v>62.511811950670037</c:v>
                </c:pt>
                <c:pt idx="89">
                  <c:v>61.542400464700563</c:v>
                </c:pt>
                <c:pt idx="90">
                  <c:v>60.490831982517726</c:v>
                </c:pt>
                <c:pt idx="91">
                  <c:v>59.352359333953707</c:v>
                </c:pt>
                <c:pt idx="92">
                  <c:v>58.122091187287175</c:v>
                </c:pt>
                <c:pt idx="93">
                  <c:v>56.794992049242076</c:v>
                </c:pt>
                <c:pt idx="94">
                  <c:v>55.365882264989374</c:v>
                </c:pt>
                <c:pt idx="95">
                  <c:v>53.829438018145147</c:v>
                </c:pt>
                <c:pt idx="96">
                  <c:v>52.18019133077194</c:v>
                </c:pt>
                <c:pt idx="97">
                  <c:v>50.412530063378583</c:v>
                </c:pt>
                <c:pt idx="98">
                  <c:v>48.520697914918756</c:v>
                </c:pt>
                <c:pt idx="99">
                  <c:v>46.498794422793502</c:v>
                </c:pt>
                <c:pt idx="100">
                  <c:v>44.340774962849515</c:v>
                </c:pt>
              </c:numCache>
            </c:numRef>
          </c:yVal>
          <c:smooth val="0"/>
          <c:extLst>
            <c:ext xmlns:c16="http://schemas.microsoft.com/office/drawing/2014/chart" uri="{C3380CC4-5D6E-409C-BE32-E72D297353CC}">
              <c16:uniqueId val="{00000000-18EB-47AD-B68C-F21FBAB308A6}"/>
            </c:ext>
          </c:extLst>
        </c:ser>
        <c:ser>
          <c:idx val="1"/>
          <c:order val="1"/>
          <c:tx>
            <c:v>サンプルデータ</c:v>
          </c:tx>
          <c:spPr>
            <a:ln w="19050" cap="rnd">
              <a:noFill/>
              <a:round/>
            </a:ln>
            <a:effectLst/>
          </c:spPr>
          <c:marker>
            <c:symbol val="circle"/>
            <c:size val="8"/>
            <c:spPr>
              <a:noFill/>
              <a:ln w="9525">
                <a:solidFill>
                  <a:schemeClr val="accent1"/>
                </a:solidFill>
              </a:ln>
              <a:effectLst/>
            </c:spPr>
          </c:marker>
          <c:xVal>
            <c:numRef>
              <c:f>'C2'!$BQ$14:$BQ$1013</c:f>
              <c:numCache>
                <c:formatCode>General</c:formatCode>
                <c:ptCount val="1000"/>
                <c:pt idx="0">
                  <c:v>0</c:v>
                </c:pt>
                <c:pt idx="1">
                  <c:v>66.790352499999997</c:v>
                </c:pt>
                <c:pt idx="2">
                  <c:v>126.15955470000002</c:v>
                </c:pt>
                <c:pt idx="3">
                  <c:v>185.52875700000001</c:v>
                </c:pt>
                <c:pt idx="4">
                  <c:v>237.47680890000001</c:v>
                </c:pt>
                <c:pt idx="5">
                  <c:v>304.26716140000008</c:v>
                </c:pt>
                <c:pt idx="6">
                  <c:v>378.47866420000003</c:v>
                </c:pt>
                <c:pt idx="7">
                  <c:v>482.37476809999998</c:v>
                </c:pt>
                <c:pt idx="8">
                  <c:v>578.84972170000003</c:v>
                </c:pt>
                <c:pt idx="9">
                  <c:v>697.58812620000026</c:v>
                </c:pt>
                <c:pt idx="10">
                  <c:v>764.37847870000007</c:v>
                </c:pt>
                <c:pt idx="11">
                  <c:v>831.16883120000011</c:v>
                </c:pt>
                <c:pt idx="12">
                  <c:v>890.53803340000013</c:v>
                </c:pt>
                <c:pt idx="13">
                  <c:v>949.90723560000004</c:v>
                </c:pt>
                <c:pt idx="14">
                  <c:v>1024.1187379999999</c:v>
                </c:pt>
                <c:pt idx="15">
                  <c:v>1135.4359930000001</c:v>
                </c:pt>
                <c:pt idx="16">
                  <c:v>1261.5955469999999</c:v>
                </c:pt>
                <c:pt idx="17">
                  <c:v>1395.1762520000002</c:v>
                </c:pt>
                <c:pt idx="18">
                  <c:v>1521.3358070000002</c:v>
                </c:pt>
                <c:pt idx="19">
                  <c:v>1684.6011130000004</c:v>
                </c:pt>
                <c:pt idx="20">
                  <c:v>1833.0241190000002</c:v>
                </c:pt>
                <c:pt idx="21">
                  <c:v>1974.0259739999999</c:v>
                </c:pt>
                <c:pt idx="22">
                  <c:v>2129.8701300000007</c:v>
                </c:pt>
                <c:pt idx="23">
                  <c:v>2300.5565860000002</c:v>
                </c:pt>
                <c:pt idx="24">
                  <c:v>2463.8218919999999</c:v>
                </c:pt>
                <c:pt idx="25">
                  <c:v>2619.666048</c:v>
                </c:pt>
                <c:pt idx="26">
                  <c:v>2745.8256029999993</c:v>
                </c:pt>
                <c:pt idx="27">
                  <c:v>2916.5120590000006</c:v>
                </c:pt>
                <c:pt idx="28">
                  <c:v>3072.3562149999993</c:v>
                </c:pt>
                <c:pt idx="29">
                  <c:v>3198.51577</c:v>
                </c:pt>
                <c:pt idx="30">
                  <c:v>3302.4118740000008</c:v>
                </c:pt>
                <c:pt idx="31">
                  <c:v>3443.4137289999999</c:v>
                </c:pt>
                <c:pt idx="32">
                  <c:v>3562.1521340000013</c:v>
                </c:pt>
                <c:pt idx="33">
                  <c:v>3680.8905380000006</c:v>
                </c:pt>
                <c:pt idx="34">
                  <c:v>3799.6289420000003</c:v>
                </c:pt>
                <c:pt idx="35">
                  <c:v>3903.5250460000002</c:v>
                </c:pt>
                <c:pt idx="36">
                  <c:v>4022.2634509999993</c:v>
                </c:pt>
                <c:pt idx="37">
                  <c:v>4111.3172539999996</c:v>
                </c:pt>
                <c:pt idx="38">
                  <c:v>4230.0556589999997</c:v>
                </c:pt>
                <c:pt idx="39">
                  <c:v>4341.3729129999992</c:v>
                </c:pt>
                <c:pt idx="40">
                  <c:v>4430.4267160000009</c:v>
                </c:pt>
                <c:pt idx="41">
                  <c:v>4519.4805190000006</c:v>
                </c:pt>
                <c:pt idx="42">
                  <c:v>4601.1131730000006</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'C2'!$BP$14:$BP$1013</c:f>
              <c:numCache>
                <c:formatCode>General</c:formatCode>
                <c:ptCount val="1000"/>
                <c:pt idx="0">
                  <c:v>-0.55813953500000002</c:v>
                </c:pt>
                <c:pt idx="1">
                  <c:v>5.3953488370000002</c:v>
                </c:pt>
                <c:pt idx="2">
                  <c:v>10.23255814</c:v>
                </c:pt>
                <c:pt idx="3">
                  <c:v>14.51162791</c:v>
                </c:pt>
                <c:pt idx="4">
                  <c:v>18.79069767</c:v>
                </c:pt>
                <c:pt idx="5">
                  <c:v>23.25581395</c:v>
                </c:pt>
                <c:pt idx="6">
                  <c:v>29.581395350000001</c:v>
                </c:pt>
                <c:pt idx="7">
                  <c:v>36.465116279999997</c:v>
                </c:pt>
                <c:pt idx="8">
                  <c:v>41.860465120000001</c:v>
                </c:pt>
                <c:pt idx="9">
                  <c:v>48.93023256</c:v>
                </c:pt>
                <c:pt idx="10">
                  <c:v>51.906976739999998</c:v>
                </c:pt>
                <c:pt idx="11">
                  <c:v>54.139534879999992</c:v>
                </c:pt>
                <c:pt idx="12">
                  <c:v>56.186046509999997</c:v>
                </c:pt>
                <c:pt idx="13">
                  <c:v>58.046511629999998</c:v>
                </c:pt>
                <c:pt idx="14">
                  <c:v>59.53488372000001</c:v>
                </c:pt>
                <c:pt idx="15">
                  <c:v>60.651162790000001</c:v>
                </c:pt>
                <c:pt idx="16">
                  <c:v>62.88372093000001</c:v>
                </c:pt>
                <c:pt idx="17">
                  <c:v>63.627906980000006</c:v>
                </c:pt>
                <c:pt idx="18">
                  <c:v>65.302325580000002</c:v>
                </c:pt>
                <c:pt idx="19">
                  <c:v>66.79069767</c:v>
                </c:pt>
                <c:pt idx="20">
                  <c:v>68.093023259999995</c:v>
                </c:pt>
                <c:pt idx="21">
                  <c:v>68.837209299999998</c:v>
                </c:pt>
                <c:pt idx="22">
                  <c:v>69.395348839999997</c:v>
                </c:pt>
                <c:pt idx="23">
                  <c:v>70.697674419999998</c:v>
                </c:pt>
                <c:pt idx="24">
                  <c:v>71.069767440000007</c:v>
                </c:pt>
                <c:pt idx="25">
                  <c:v>71.813953490000003</c:v>
                </c:pt>
                <c:pt idx="26">
                  <c:v>72</c:v>
                </c:pt>
                <c:pt idx="27">
                  <c:v>72.372093019999994</c:v>
                </c:pt>
                <c:pt idx="28">
                  <c:v>72.372093019999994</c:v>
                </c:pt>
                <c:pt idx="29">
                  <c:v>71.813953490000003</c:v>
                </c:pt>
                <c:pt idx="30">
                  <c:v>71.255813950000004</c:v>
                </c:pt>
                <c:pt idx="31">
                  <c:v>69.953488370000002</c:v>
                </c:pt>
                <c:pt idx="32">
                  <c:v>69.20930233</c:v>
                </c:pt>
                <c:pt idx="33">
                  <c:v>67.720930229999993</c:v>
                </c:pt>
                <c:pt idx="34">
                  <c:v>66.046511629999998</c:v>
                </c:pt>
                <c:pt idx="35">
                  <c:v>64.186046509999997</c:v>
                </c:pt>
                <c:pt idx="36">
                  <c:v>61.395348839999997</c:v>
                </c:pt>
                <c:pt idx="37">
                  <c:v>59.906976739999998</c:v>
                </c:pt>
                <c:pt idx="38">
                  <c:v>56.744186050000003</c:v>
                </c:pt>
                <c:pt idx="39">
                  <c:v>53.767441859999998</c:v>
                </c:pt>
                <c:pt idx="40">
                  <c:v>51.720930230000008</c:v>
                </c:pt>
                <c:pt idx="41">
                  <c:v>49.116279069999997</c:v>
                </c:pt>
                <c:pt idx="42">
                  <c:v>46.325581399999997</c:v>
                </c:pt>
              </c:numCache>
            </c:numRef>
          </c:yVal>
          <c:smooth val="0"/>
          <c:extLst>
            <c:ext xmlns:c16="http://schemas.microsoft.com/office/drawing/2014/chart" uri="{C3380CC4-5D6E-409C-BE32-E72D297353CC}">
              <c16:uniqueId val="{00000000-9CC0-4ABC-B8FD-0AEF138400C6}"/>
            </c:ext>
          </c:extLst>
        </c:ser>
        <c:dLbls>
          <c:showLegendKey val="0"/>
          <c:showVal val="0"/>
          <c:showCatName val="0"/>
          <c:showSerName val="0"/>
          <c:showPercent val="0"/>
          <c:showBubbleSize val="0"/>
        </c:dLbls>
        <c:axId val="1866239839"/>
        <c:axId val="1705784463"/>
      </c:scatterChart>
      <c:scatterChart>
        <c:scatterStyle val="lineMarker"/>
        <c:varyColors val="0"/>
        <c:ser>
          <c:idx val="2"/>
          <c:order val="2"/>
          <c:tx>
            <c:v>定格流量</c:v>
          </c:tx>
          <c:spPr>
            <a:ln w="19050" cap="rnd">
              <a:solidFill>
                <a:srgbClr val="FF0000"/>
              </a:solidFill>
              <a:prstDash val="sysDot"/>
              <a:round/>
            </a:ln>
            <a:effectLst/>
          </c:spPr>
          <c:marker>
            <c:symbol val="none"/>
          </c:marker>
          <c:xVal>
            <c:numRef>
              <c:f>'C2'!$BU$14:$BU$15</c:f>
              <c:numCache>
                <c:formatCode>General</c:formatCode>
                <c:ptCount val="2"/>
                <c:pt idx="0">
                  <c:v>2550</c:v>
                </c:pt>
                <c:pt idx="1">
                  <c:v>2550</c:v>
                </c:pt>
              </c:numCache>
            </c:numRef>
          </c:xVal>
          <c:yVal>
            <c:numRef>
              <c:f>'C2'!$BT$14:$BT$15</c:f>
              <c:numCache>
                <c:formatCode>General</c:formatCode>
                <c:ptCount val="2"/>
                <c:pt idx="0">
                  <c:v>0</c:v>
                </c:pt>
                <c:pt idx="1">
                  <c:v>1</c:v>
                </c:pt>
              </c:numCache>
            </c:numRef>
          </c:yVal>
          <c:smooth val="0"/>
          <c:extLst>
            <c:ext xmlns:c16="http://schemas.microsoft.com/office/drawing/2014/chart" uri="{C3380CC4-5D6E-409C-BE32-E72D297353CC}">
              <c16:uniqueId val="{00000000-4731-4393-B777-50C6658BB2E5}"/>
            </c:ext>
          </c:extLst>
        </c:ser>
        <c:dLbls>
          <c:showLegendKey val="0"/>
          <c:showVal val="0"/>
          <c:showCatName val="0"/>
          <c:showSerName val="0"/>
          <c:showPercent val="0"/>
          <c:showBubbleSize val="0"/>
        </c:dLbls>
        <c:axId val="362762431"/>
        <c:axId val="36275102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strRef>
              <c:f>'C2'!$BJ$13</c:f>
              <c:strCache>
                <c:ptCount val="1"/>
                <c:pt idx="0">
                  <c:v>L/s</c:v>
                </c:pt>
              </c:strCache>
            </c:strRef>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strRef>
              <c:f>'C2'!$BI$13</c:f>
              <c:strCache>
                <c:ptCount val="1"/>
                <c:pt idx="0">
                  <c:v>%</c:v>
                </c:pt>
              </c:strCache>
            </c:strRef>
          </c:tx>
          <c:layout>
            <c:manualLayout>
              <c:xMode val="edge"/>
              <c:yMode val="edge"/>
              <c:x val="2.4939783761597713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valAx>
        <c:axId val="362751023"/>
        <c:scaling>
          <c:orientation val="minMax"/>
          <c:max val="1"/>
        </c:scaling>
        <c:delete val="0"/>
        <c:axPos val="r"/>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62762431"/>
        <c:crosses val="max"/>
        <c:crossBetween val="midCat"/>
      </c:valAx>
      <c:valAx>
        <c:axId val="362762431"/>
        <c:scaling>
          <c:orientation val="minMax"/>
        </c:scaling>
        <c:delete val="1"/>
        <c:axPos val="b"/>
        <c:numFmt formatCode="General" sourceLinked="1"/>
        <c:majorTickMark val="out"/>
        <c:minorTickMark val="none"/>
        <c:tickLblPos val="nextTo"/>
        <c:crossAx val="362751023"/>
        <c:crosses val="autoZero"/>
        <c:crossBetween val="midCat"/>
      </c:valAx>
      <c:spPr>
        <a:solidFill>
          <a:schemeClr val="bg1"/>
        </a:solidFill>
        <a:ln>
          <a:noFill/>
        </a:ln>
        <a:effectLst/>
      </c:spPr>
    </c:plotArea>
    <c:legend>
      <c:legendPos val="t"/>
      <c:layout>
        <c:manualLayout>
          <c:xMode val="edge"/>
          <c:yMode val="edge"/>
          <c:x val="0.16394802501539163"/>
          <c:y val="8.23045267489712E-3"/>
          <c:w val="0.75555555555555565"/>
          <c:h val="5.5555944395839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9949774796668"/>
          <c:y val="6.7644211140274135E-2"/>
          <c:w val="0.78011967639847479"/>
          <c:h val="0.79875856258708411"/>
        </c:manualLayout>
      </c:layout>
      <c:scatterChart>
        <c:scatterStyle val="lineMarker"/>
        <c:varyColors val="0"/>
        <c:ser>
          <c:idx val="0"/>
          <c:order val="0"/>
          <c:tx>
            <c:v>外挿区間</c:v>
          </c:tx>
          <c:spPr>
            <a:ln w="12700" cap="rnd">
              <a:solidFill>
                <a:schemeClr val="bg1">
                  <a:lumMod val="65000"/>
                </a:schemeClr>
              </a:solidFill>
              <a:prstDash val="sysDash"/>
              <a:round/>
            </a:ln>
            <a:effectLst/>
          </c:spPr>
          <c:marker>
            <c:symbol val="none"/>
          </c:marker>
          <c:xVal>
            <c:numRef>
              <c:f>'C3'!$AX$14:$AX$1014</c:f>
              <c:numCache>
                <c:formatCode>General</c:formatCode>
                <c:ptCount val="1001"/>
                <c:pt idx="0">
                  <c:v>-1.4017728303086421</c:v>
                </c:pt>
                <c:pt idx="1">
                  <c:v>-1.3165670308190125</c:v>
                </c:pt>
                <c:pt idx="2">
                  <c:v>-1.2313612313293829</c:v>
                </c:pt>
                <c:pt idx="3">
                  <c:v>-1.1461554318397531</c:v>
                </c:pt>
                <c:pt idx="4">
                  <c:v>-1.0609496323501235</c:v>
                </c:pt>
                <c:pt idx="5">
                  <c:v>-0.97574383286049393</c:v>
                </c:pt>
                <c:pt idx="6">
                  <c:v>-0.89053803337086435</c:v>
                </c:pt>
                <c:pt idx="7">
                  <c:v>-0.80533223388123465</c:v>
                </c:pt>
                <c:pt idx="8">
                  <c:v>-0.72012643439160506</c:v>
                </c:pt>
                <c:pt idx="9">
                  <c:v>-0.63492063490197548</c:v>
                </c:pt>
                <c:pt idx="10">
                  <c:v>-0.54971483541234578</c:v>
                </c:pt>
                <c:pt idx="11">
                  <c:v>-0.4645090359227162</c:v>
                </c:pt>
                <c:pt idx="12">
                  <c:v>-0.37930323643308661</c:v>
                </c:pt>
                <c:pt idx="13">
                  <c:v>-0.29409743694345702</c:v>
                </c:pt>
                <c:pt idx="14">
                  <c:v>-0.20889163745382722</c:v>
                </c:pt>
                <c:pt idx="15">
                  <c:v>-0.12368583796419763</c:v>
                </c:pt>
                <c:pt idx="16">
                  <c:v>-3.8480038474568046E-2</c:v>
                </c:pt>
                <c:pt idx="17">
                  <c:v>4.672576101506154E-2</c:v>
                </c:pt>
                <c:pt idx="18">
                  <c:v>0.13193156050469113</c:v>
                </c:pt>
                <c:pt idx="19">
                  <c:v>0.21713735999432093</c:v>
                </c:pt>
                <c:pt idx="20">
                  <c:v>0.30234315948395052</c:v>
                </c:pt>
                <c:pt idx="21">
                  <c:v>0.3875489589735801</c:v>
                </c:pt>
                <c:pt idx="22">
                  <c:v>0.47275475846320969</c:v>
                </c:pt>
                <c:pt idx="23">
                  <c:v>0.55796055795283928</c:v>
                </c:pt>
                <c:pt idx="24">
                  <c:v>0.64316635744246908</c:v>
                </c:pt>
                <c:pt idx="25">
                  <c:v>0.72837215693209889</c:v>
                </c:pt>
                <c:pt idx="26">
                  <c:v>0.81357795642172825</c:v>
                </c:pt>
                <c:pt idx="27">
                  <c:v>0.89878375591135806</c:v>
                </c:pt>
                <c:pt idx="28">
                  <c:v>0.98398955540098787</c:v>
                </c:pt>
                <c:pt idx="29">
                  <c:v>1.0691953548906172</c:v>
                </c:pt>
                <c:pt idx="30">
                  <c:v>1.154401154380247</c:v>
                </c:pt>
                <c:pt idx="31">
                  <c:v>1.2396069538698764</c:v>
                </c:pt>
                <c:pt idx="32">
                  <c:v>1.3248127533595062</c:v>
                </c:pt>
                <c:pt idx="33">
                  <c:v>1.410018552849136</c:v>
                </c:pt>
                <c:pt idx="34">
                  <c:v>1.4952243523387654</c:v>
                </c:pt>
                <c:pt idx="35">
                  <c:v>1.5804301518283952</c:v>
                </c:pt>
                <c:pt idx="36">
                  <c:v>1.6656359513180246</c:v>
                </c:pt>
                <c:pt idx="37">
                  <c:v>1.7508417508076544</c:v>
                </c:pt>
                <c:pt idx="38">
                  <c:v>1.8360475502972842</c:v>
                </c:pt>
                <c:pt idx="39">
                  <c:v>1.9212533497869135</c:v>
                </c:pt>
                <c:pt idx="40">
                  <c:v>2.0064591492765436</c:v>
                </c:pt>
                <c:pt idx="41">
                  <c:v>2.0916649487661729</c:v>
                </c:pt>
                <c:pt idx="42">
                  <c:v>2.1768707482558023</c:v>
                </c:pt>
                <c:pt idx="43">
                  <c:v>2.2620765477454325</c:v>
                </c:pt>
                <c:pt idx="44">
                  <c:v>2.3472823472350619</c:v>
                </c:pt>
                <c:pt idx="45">
                  <c:v>2.4324881467246913</c:v>
                </c:pt>
                <c:pt idx="46">
                  <c:v>2.5176939462143206</c:v>
                </c:pt>
                <c:pt idx="47">
                  <c:v>2.60289974570395</c:v>
                </c:pt>
                <c:pt idx="48">
                  <c:v>2.6881055451935794</c:v>
                </c:pt>
                <c:pt idx="49">
                  <c:v>2.7733113446832096</c:v>
                </c:pt>
                <c:pt idx="50">
                  <c:v>2.858517144172839</c:v>
                </c:pt>
                <c:pt idx="51">
                  <c:v>2.9437229436624683</c:v>
                </c:pt>
                <c:pt idx="52">
                  <c:v>3.0289287431520977</c:v>
                </c:pt>
                <c:pt idx="53">
                  <c:v>3.114134542641728</c:v>
                </c:pt>
                <c:pt idx="54">
                  <c:v>3.1993403421313573</c:v>
                </c:pt>
                <c:pt idx="55">
                  <c:v>3.2845461416209867</c:v>
                </c:pt>
                <c:pt idx="56">
                  <c:v>3.3697519411106169</c:v>
                </c:pt>
                <c:pt idx="57">
                  <c:v>3.4549577406002463</c:v>
                </c:pt>
                <c:pt idx="58">
                  <c:v>3.5401635400898757</c:v>
                </c:pt>
                <c:pt idx="59">
                  <c:v>3.6253693395795059</c:v>
                </c:pt>
                <c:pt idx="60">
                  <c:v>3.7105751390691353</c:v>
                </c:pt>
                <c:pt idx="61">
                  <c:v>3.7957809385587646</c:v>
                </c:pt>
                <c:pt idx="62">
                  <c:v>3.880986738048394</c:v>
                </c:pt>
                <c:pt idx="63">
                  <c:v>3.9661925375380243</c:v>
                </c:pt>
                <c:pt idx="64">
                  <c:v>4.0513983370276536</c:v>
                </c:pt>
                <c:pt idx="65">
                  <c:v>4.136604136517283</c:v>
                </c:pt>
                <c:pt idx="66">
                  <c:v>4.2218099360069132</c:v>
                </c:pt>
                <c:pt idx="67">
                  <c:v>4.3070157354965426</c:v>
                </c:pt>
                <c:pt idx="68">
                  <c:v>4.392221534986172</c:v>
                </c:pt>
                <c:pt idx="69">
                  <c:v>4.4774273344758013</c:v>
                </c:pt>
                <c:pt idx="70">
                  <c:v>4.5626331339654316</c:v>
                </c:pt>
                <c:pt idx="71">
                  <c:v>4.6478389334550609</c:v>
                </c:pt>
                <c:pt idx="72">
                  <c:v>4.7330447329446903</c:v>
                </c:pt>
                <c:pt idx="73">
                  <c:v>4.8182505324343206</c:v>
                </c:pt>
                <c:pt idx="74">
                  <c:v>4.9034563319239499</c:v>
                </c:pt>
                <c:pt idx="75">
                  <c:v>4.9886621314135793</c:v>
                </c:pt>
                <c:pt idx="76">
                  <c:v>5.0738679309032095</c:v>
                </c:pt>
                <c:pt idx="77">
                  <c:v>5.1590737303928389</c:v>
                </c:pt>
                <c:pt idx="78">
                  <c:v>5.2442795298824683</c:v>
                </c:pt>
                <c:pt idx="79">
                  <c:v>5.3294853293720976</c:v>
                </c:pt>
                <c:pt idx="80">
                  <c:v>5.4146911288617279</c:v>
                </c:pt>
                <c:pt idx="81">
                  <c:v>5.4998969283513572</c:v>
                </c:pt>
                <c:pt idx="82">
                  <c:v>5.5851027278409866</c:v>
                </c:pt>
                <c:pt idx="83">
                  <c:v>5.6703085273306169</c:v>
                </c:pt>
                <c:pt idx="84">
                  <c:v>5.7555143268202462</c:v>
                </c:pt>
                <c:pt idx="85">
                  <c:v>5.8407201263098756</c:v>
                </c:pt>
                <c:pt idx="86">
                  <c:v>5.9259259257995058</c:v>
                </c:pt>
                <c:pt idx="87">
                  <c:v>6.0111317252891352</c:v>
                </c:pt>
                <c:pt idx="88">
                  <c:v>6.0963375247787646</c:v>
                </c:pt>
                <c:pt idx="89">
                  <c:v>6.1815433242683939</c:v>
                </c:pt>
                <c:pt idx="90">
                  <c:v>6.2667491237580242</c:v>
                </c:pt>
                <c:pt idx="91">
                  <c:v>6.3519549232476535</c:v>
                </c:pt>
                <c:pt idx="92">
                  <c:v>6.4371607227372829</c:v>
                </c:pt>
                <c:pt idx="93">
                  <c:v>6.5223665222269132</c:v>
                </c:pt>
                <c:pt idx="94">
                  <c:v>6.6075723217165425</c:v>
                </c:pt>
                <c:pt idx="95">
                  <c:v>6.6927781212061728</c:v>
                </c:pt>
                <c:pt idx="96">
                  <c:v>6.7779839206958012</c:v>
                </c:pt>
                <c:pt idx="97">
                  <c:v>6.8631897201854315</c:v>
                </c:pt>
                <c:pt idx="98">
                  <c:v>6.9483955196750617</c:v>
                </c:pt>
                <c:pt idx="99">
                  <c:v>7.0336013191646902</c:v>
                </c:pt>
                <c:pt idx="100">
                  <c:v>7.1188071186543205</c:v>
                </c:pt>
              </c:numCache>
            </c:numRef>
          </c:xVal>
          <c:yVal>
            <c:numRef>
              <c:f>'C3'!$AW$14:$AW$1014</c:f>
              <c:numCache>
                <c:formatCode>General</c:formatCode>
                <c:ptCount val="1001"/>
                <c:pt idx="0">
                  <c:v>2.5253205954577622E-5</c:v>
                </c:pt>
                <c:pt idx="1">
                  <c:v>2.5401982147762176E-5</c:v>
                </c:pt>
                <c:pt idx="2">
                  <c:v>2.612808854927605E-5</c:v>
                </c:pt>
                <c:pt idx="3">
                  <c:v>2.7401057708206551E-5</c:v>
                </c:pt>
                <c:pt idx="4">
                  <c:v>2.9191044386284252E-5</c:v>
                </c:pt>
                <c:pt idx="5">
                  <c:v>3.1468825557882883E-5</c:v>
                </c:pt>
                <c:pt idx="6">
                  <c:v>3.4205800410019421E-5</c:v>
                </c:pt>
                <c:pt idx="7">
                  <c:v>3.7373990342354045E-5</c:v>
                </c:pt>
                <c:pt idx="8">
                  <c:v>4.0946038967190108E-5</c:v>
                </c:pt>
                <c:pt idx="9">
                  <c:v>4.4895212109474207E-5</c:v>
                </c:pt>
                <c:pt idx="10">
                  <c:v>4.919539780679613E-5</c:v>
                </c:pt>
                <c:pt idx="11">
                  <c:v>5.3821106309388869E-5</c:v>
                </c:pt>
                <c:pt idx="12">
                  <c:v>5.874747008012863E-5</c:v>
                </c:pt>
                <c:pt idx="13">
                  <c:v>6.3950243794534835E-5</c:v>
                </c:pt>
                <c:pt idx="14">
                  <c:v>6.9405804340770099E-5</c:v>
                </c:pt>
                <c:pt idx="15">
                  <c:v>7.5091150819640227E-5</c:v>
                </c:pt>
                <c:pt idx="16">
                  <c:v>8.098390454459429E-5</c:v>
                </c:pt>
                <c:pt idx="17">
                  <c:v>8.7062309041724504E-5</c:v>
                </c:pt>
                <c:pt idx="18">
                  <c:v>9.3305230049766307E-5</c:v>
                </c:pt>
                <c:pt idx="19">
                  <c:v>9.9692155520098407E-5</c:v>
                </c:pt>
                <c:pt idx="20">
                  <c:v>1.0620319561674261E-4</c:v>
                </c:pt>
                <c:pt idx="21">
                  <c:v>1.1281908271636401E-4</c:v>
                </c:pt>
                <c:pt idx="22">
                  <c:v>1.1952117140827089E-4</c:v>
                </c:pt>
                <c:pt idx="23">
                  <c:v>1.2629143849441472E-4</c:v>
                </c:pt>
                <c:pt idx="24">
                  <c:v>1.3311248298939019E-4</c:v>
                </c:pt>
                <c:pt idx="25">
                  <c:v>1.3996752612043526E-4</c:v>
                </c:pt>
                <c:pt idx="26">
                  <c:v>1.4684041132743091E-4</c:v>
                </c:pt>
                <c:pt idx="27">
                  <c:v>1.5371560426290158E-4</c:v>
                </c:pt>
                <c:pt idx="28">
                  <c:v>1.6057819279201473E-4</c:v>
                </c:pt>
                <c:pt idx="29">
                  <c:v>1.6741388699258107E-4</c:v>
                </c:pt>
                <c:pt idx="30">
                  <c:v>1.7420901915505459E-4</c:v>
                </c:pt>
                <c:pt idx="31">
                  <c:v>1.8095054378253238E-4</c:v>
                </c:pt>
                <c:pt idx="32">
                  <c:v>1.8762603759075487E-4</c:v>
                </c:pt>
                <c:pt idx="33">
                  <c:v>1.9422369950810556E-4</c:v>
                </c:pt>
                <c:pt idx="34">
                  <c:v>2.0073235067561118E-4</c:v>
                </c:pt>
                <c:pt idx="35">
                  <c:v>2.0714143444694176E-4</c:v>
                </c:pt>
                <c:pt idx="36">
                  <c:v>2.1344101638841044E-4</c:v>
                </c:pt>
                <c:pt idx="37">
                  <c:v>2.1962178427897366E-4</c:v>
                </c:pt>
                <c:pt idx="38">
                  <c:v>2.2567504811023097E-4</c:v>
                </c:pt>
                <c:pt idx="39">
                  <c:v>2.3159274008642517E-4</c:v>
                </c:pt>
                <c:pt idx="40">
                  <c:v>2.373674146244423E-4</c:v>
                </c:pt>
                <c:pt idx="41">
                  <c:v>2.4299224835381154E-4</c:v>
                </c:pt>
                <c:pt idx="42">
                  <c:v>2.4846104011670532E-4</c:v>
                </c:pt>
                <c:pt idx="43">
                  <c:v>2.5376821096793933E-4</c:v>
                </c:pt>
                <c:pt idx="44">
                  <c:v>2.5890880417497235E-4</c:v>
                </c:pt>
                <c:pt idx="45">
                  <c:v>2.6387848521790638E-4</c:v>
                </c:pt>
                <c:pt idx="46">
                  <c:v>2.6867354178948674E-4</c:v>
                </c:pt>
                <c:pt idx="47">
                  <c:v>2.7329088379510181E-4</c:v>
                </c:pt>
                <c:pt idx="48">
                  <c:v>2.7772804335278337E-4</c:v>
                </c:pt>
                <c:pt idx="49">
                  <c:v>2.8198317479320636E-4</c:v>
                </c:pt>
                <c:pt idx="50">
                  <c:v>2.8605505465968868E-4</c:v>
                </c:pt>
                <c:pt idx="51">
                  <c:v>2.8994308170819162E-4</c:v>
                </c:pt>
                <c:pt idx="52">
                  <c:v>2.9364727690731974E-4</c:v>
                </c:pt>
                <c:pt idx="53">
                  <c:v>2.9716828343832077E-4</c:v>
                </c:pt>
                <c:pt idx="54">
                  <c:v>3.0050736669508563E-4</c:v>
                </c:pt>
                <c:pt idx="55">
                  <c:v>3.036664142841484E-4</c:v>
                </c:pt>
                <c:pt idx="56">
                  <c:v>3.0664793602468637E-4</c:v>
                </c:pt>
                <c:pt idx="57">
                  <c:v>3.0945506394852013E-4</c:v>
                </c:pt>
                <c:pt idx="58">
                  <c:v>3.1209155230011332E-4</c:v>
                </c:pt>
                <c:pt idx="59">
                  <c:v>3.1456177753657314E-4</c:v>
                </c:pt>
                <c:pt idx="60">
                  <c:v>3.1687073832764942E-4</c:v>
                </c:pt>
                <c:pt idx="61">
                  <c:v>3.1902405555573563E-4</c:v>
                </c:pt>
                <c:pt idx="62">
                  <c:v>3.2102797231586843E-4</c:v>
                </c:pt>
                <c:pt idx="63">
                  <c:v>3.2288935391572759E-4</c:v>
                </c:pt>
                <c:pt idx="64">
                  <c:v>3.24615687875636E-4</c:v>
                </c:pt>
                <c:pt idx="65">
                  <c:v>3.2621508392855994E-4</c:v>
                </c:pt>
                <c:pt idx="66">
                  <c:v>3.2769627402010873E-4</c:v>
                </c:pt>
                <c:pt idx="67">
                  <c:v>3.29068612308535E-4</c:v>
                </c:pt>
                <c:pt idx="68">
                  <c:v>3.3034207516473464E-4</c:v>
                </c:pt>
                <c:pt idx="69">
                  <c:v>3.3152726117224645E-4</c:v>
                </c:pt>
                <c:pt idx="70">
                  <c:v>3.3263539112725283E-4</c:v>
                </c:pt>
                <c:pt idx="71">
                  <c:v>3.3367830803857936E-4</c:v>
                </c:pt>
                <c:pt idx="72">
                  <c:v>3.3466847712769433E-4</c:v>
                </c:pt>
                <c:pt idx="73">
                  <c:v>3.3561898582870988E-4</c:v>
                </c:pt>
                <c:pt idx="74">
                  <c:v>3.3654354378838099E-4</c:v>
                </c:pt>
                <c:pt idx="75">
                  <c:v>3.374564828661058E-4</c:v>
                </c:pt>
                <c:pt idx="76">
                  <c:v>3.3837275713392595E-4</c:v>
                </c:pt>
                <c:pt idx="77">
                  <c:v>3.3930794287652583E-4</c:v>
                </c:pt>
                <c:pt idx="78">
                  <c:v>3.4027823859123364E-4</c:v>
                </c:pt>
                <c:pt idx="79">
                  <c:v>3.4130046498802042E-4</c:v>
                </c:pt>
                <c:pt idx="80">
                  <c:v>3.4239206498950028E-4</c:v>
                </c:pt>
                <c:pt idx="81">
                  <c:v>3.4357110373093105E-4</c:v>
                </c:pt>
                <c:pt idx="82">
                  <c:v>3.4485626856021318E-4</c:v>
                </c:pt>
                <c:pt idx="83">
                  <c:v>3.4626686903789082E-4</c:v>
                </c:pt>
                <c:pt idx="84">
                  <c:v>3.4782283693715046E-4</c:v>
                </c:pt>
                <c:pt idx="85">
                  <c:v>3.4954472624382335E-4</c:v>
                </c:pt>
                <c:pt idx="86">
                  <c:v>3.514537131563822E-4</c:v>
                </c:pt>
                <c:pt idx="87">
                  <c:v>3.535715960859445E-4</c:v>
                </c:pt>
                <c:pt idx="88">
                  <c:v>3.5592079565626995E-4</c:v>
                </c:pt>
                <c:pt idx="89">
                  <c:v>3.585243547037613E-4</c:v>
                </c:pt>
                <c:pt idx="90">
                  <c:v>3.6140593827746557E-4</c:v>
                </c:pt>
                <c:pt idx="91">
                  <c:v>3.6458983363907174E-4</c:v>
                </c:pt>
                <c:pt idx="92">
                  <c:v>3.6810095026291339E-4</c:v>
                </c:pt>
                <c:pt idx="93">
                  <c:v>3.7196481983596552E-4</c:v>
                </c:pt>
                <c:pt idx="94">
                  <c:v>3.7620759625784782E-4</c:v>
                </c:pt>
                <c:pt idx="95">
                  <c:v>3.8085605564082262E-4</c:v>
                </c:pt>
                <c:pt idx="96">
                  <c:v>3.8593759630979585E-4</c:v>
                </c:pt>
                <c:pt idx="97">
                  <c:v>3.9148023880231618E-4</c:v>
                </c:pt>
                <c:pt idx="98">
                  <c:v>3.9751262586857543E-4</c:v>
                </c:pt>
                <c:pt idx="99">
                  <c:v>4.0406402247140883E-4</c:v>
                </c:pt>
                <c:pt idx="100">
                  <c:v>4.1116431578629522E-4</c:v>
                </c:pt>
              </c:numCache>
            </c:numRef>
          </c:yVal>
          <c:smooth val="0"/>
          <c:extLst>
            <c:ext xmlns:c16="http://schemas.microsoft.com/office/drawing/2014/chart" uri="{C3380CC4-5D6E-409C-BE32-E72D297353CC}">
              <c16:uniqueId val="{00000000-CAB3-4106-B379-732890D41242}"/>
            </c:ext>
          </c:extLst>
        </c:ser>
        <c:ser>
          <c:idx val="2"/>
          <c:order val="1"/>
          <c:tx>
            <c:v>回帰曲線（サンプル範囲）</c:v>
          </c:tx>
          <c:spPr>
            <a:ln w="25400" cap="rnd">
              <a:solidFill>
                <a:schemeClr val="accent1"/>
              </a:solidFill>
              <a:round/>
            </a:ln>
            <a:effectLst/>
          </c:spPr>
          <c:marker>
            <c:symbol val="none"/>
          </c:marker>
          <c:xVal>
            <c:numRef>
              <c:f>'C3'!$BA$14:$BA$1014</c:f>
              <c:numCache>
                <c:formatCode>General</c:formatCode>
                <c:ptCount val="1001"/>
                <c:pt idx="0">
                  <c:v>1.832382785185185E-2</c:v>
                </c:pt>
                <c:pt idx="1">
                  <c:v>7.5127694178271601E-2</c:v>
                </c:pt>
                <c:pt idx="2">
                  <c:v>0.13193156050469135</c:v>
                </c:pt>
                <c:pt idx="3">
                  <c:v>0.18873542683111111</c:v>
                </c:pt>
                <c:pt idx="4">
                  <c:v>0.24553929315753087</c:v>
                </c:pt>
                <c:pt idx="5">
                  <c:v>0.30234315948395057</c:v>
                </c:pt>
                <c:pt idx="6">
                  <c:v>0.35914702581037034</c:v>
                </c:pt>
                <c:pt idx="7">
                  <c:v>0.4159508921367901</c:v>
                </c:pt>
                <c:pt idx="8">
                  <c:v>0.47275475846320986</c:v>
                </c:pt>
                <c:pt idx="9">
                  <c:v>0.52955862478962956</c:v>
                </c:pt>
                <c:pt idx="10">
                  <c:v>0.58636249111604932</c:v>
                </c:pt>
                <c:pt idx="11">
                  <c:v>0.64316635744246908</c:v>
                </c:pt>
                <c:pt idx="12">
                  <c:v>0.69997022376888884</c:v>
                </c:pt>
                <c:pt idx="13">
                  <c:v>0.7567740900953086</c:v>
                </c:pt>
                <c:pt idx="14">
                  <c:v>0.81357795642172837</c:v>
                </c:pt>
                <c:pt idx="15">
                  <c:v>0.87038182274814813</c:v>
                </c:pt>
                <c:pt idx="16">
                  <c:v>0.92718568907456789</c:v>
                </c:pt>
                <c:pt idx="17">
                  <c:v>0.98398955540098765</c:v>
                </c:pt>
                <c:pt idx="18">
                  <c:v>1.0407934217274073</c:v>
                </c:pt>
                <c:pt idx="19">
                  <c:v>1.0975972880538272</c:v>
                </c:pt>
                <c:pt idx="20">
                  <c:v>1.1544011543802468</c:v>
                </c:pt>
                <c:pt idx="21">
                  <c:v>1.2112050207066667</c:v>
                </c:pt>
                <c:pt idx="22">
                  <c:v>1.2680088870330863</c:v>
                </c:pt>
                <c:pt idx="23">
                  <c:v>1.3248127533595062</c:v>
                </c:pt>
                <c:pt idx="24">
                  <c:v>1.3816166196859259</c:v>
                </c:pt>
                <c:pt idx="25">
                  <c:v>1.4384204860123457</c:v>
                </c:pt>
                <c:pt idx="26">
                  <c:v>1.4952243523387654</c:v>
                </c:pt>
                <c:pt idx="27">
                  <c:v>1.5520282186651853</c:v>
                </c:pt>
                <c:pt idx="28">
                  <c:v>1.6088320849916049</c:v>
                </c:pt>
                <c:pt idx="29">
                  <c:v>1.6656359513180248</c:v>
                </c:pt>
                <c:pt idx="30">
                  <c:v>1.7224398176444444</c:v>
                </c:pt>
                <c:pt idx="31">
                  <c:v>1.7792436839708643</c:v>
                </c:pt>
                <c:pt idx="32">
                  <c:v>1.8360475502972839</c:v>
                </c:pt>
                <c:pt idx="33">
                  <c:v>1.8928514166237036</c:v>
                </c:pt>
                <c:pt idx="34">
                  <c:v>1.9496552829501235</c:v>
                </c:pt>
                <c:pt idx="35">
                  <c:v>2.0064591492765431</c:v>
                </c:pt>
                <c:pt idx="36">
                  <c:v>2.063263015602963</c:v>
                </c:pt>
                <c:pt idx="37">
                  <c:v>2.1200668819293829</c:v>
                </c:pt>
                <c:pt idx="38">
                  <c:v>2.1768707482558027</c:v>
                </c:pt>
                <c:pt idx="39">
                  <c:v>2.2336746145822226</c:v>
                </c:pt>
                <c:pt idx="40">
                  <c:v>2.290478480908642</c:v>
                </c:pt>
                <c:pt idx="41">
                  <c:v>2.3472823472350619</c:v>
                </c:pt>
                <c:pt idx="42">
                  <c:v>2.4040862135614818</c:v>
                </c:pt>
                <c:pt idx="43">
                  <c:v>2.4608900798879016</c:v>
                </c:pt>
                <c:pt idx="44">
                  <c:v>2.5176939462143211</c:v>
                </c:pt>
                <c:pt idx="45">
                  <c:v>2.5744978125407409</c:v>
                </c:pt>
                <c:pt idx="46">
                  <c:v>2.6313016788671608</c:v>
                </c:pt>
                <c:pt idx="47">
                  <c:v>2.6881055451935807</c:v>
                </c:pt>
                <c:pt idx="48">
                  <c:v>2.7449094115200001</c:v>
                </c:pt>
                <c:pt idx="49">
                  <c:v>2.80171327784642</c:v>
                </c:pt>
                <c:pt idx="50">
                  <c:v>2.8585171441728399</c:v>
                </c:pt>
                <c:pt idx="51">
                  <c:v>2.9153210104992593</c:v>
                </c:pt>
                <c:pt idx="52">
                  <c:v>2.9721248768256792</c:v>
                </c:pt>
                <c:pt idx="53">
                  <c:v>3.028928743152099</c:v>
                </c:pt>
                <c:pt idx="54">
                  <c:v>3.0857326094785189</c:v>
                </c:pt>
                <c:pt idx="55">
                  <c:v>3.1425364758049383</c:v>
                </c:pt>
                <c:pt idx="56">
                  <c:v>3.1993403421313582</c:v>
                </c:pt>
                <c:pt idx="57">
                  <c:v>3.2561442084577781</c:v>
                </c:pt>
                <c:pt idx="58">
                  <c:v>3.3129480747841979</c:v>
                </c:pt>
                <c:pt idx="59">
                  <c:v>3.3697519411106174</c:v>
                </c:pt>
                <c:pt idx="60">
                  <c:v>3.4265558074370372</c:v>
                </c:pt>
                <c:pt idx="61">
                  <c:v>3.4833596737634571</c:v>
                </c:pt>
                <c:pt idx="62">
                  <c:v>3.540163540089877</c:v>
                </c:pt>
                <c:pt idx="63">
                  <c:v>3.5969674064162964</c:v>
                </c:pt>
                <c:pt idx="64">
                  <c:v>3.6537712727427163</c:v>
                </c:pt>
                <c:pt idx="65">
                  <c:v>3.7105751390691362</c:v>
                </c:pt>
                <c:pt idx="66">
                  <c:v>3.7673790053955556</c:v>
                </c:pt>
                <c:pt idx="67">
                  <c:v>3.8241828717219755</c:v>
                </c:pt>
                <c:pt idx="68">
                  <c:v>3.8809867380483953</c:v>
                </c:pt>
                <c:pt idx="69">
                  <c:v>3.9377906043748152</c:v>
                </c:pt>
                <c:pt idx="70">
                  <c:v>3.9945944707012346</c:v>
                </c:pt>
                <c:pt idx="71">
                  <c:v>4.0513983370276545</c:v>
                </c:pt>
                <c:pt idx="72">
                  <c:v>4.1082022033540735</c:v>
                </c:pt>
                <c:pt idx="73">
                  <c:v>4.1650060696804934</c:v>
                </c:pt>
                <c:pt idx="74">
                  <c:v>4.2218099360069132</c:v>
                </c:pt>
                <c:pt idx="75">
                  <c:v>4.2786138023333331</c:v>
                </c:pt>
                <c:pt idx="76">
                  <c:v>4.335417668659753</c:v>
                </c:pt>
                <c:pt idx="77">
                  <c:v>4.3922215349861728</c:v>
                </c:pt>
                <c:pt idx="78">
                  <c:v>4.4490254013125927</c:v>
                </c:pt>
                <c:pt idx="79">
                  <c:v>4.5058292676390126</c:v>
                </c:pt>
                <c:pt idx="80">
                  <c:v>4.5626331339654316</c:v>
                </c:pt>
                <c:pt idx="81">
                  <c:v>4.6194370002918514</c:v>
                </c:pt>
                <c:pt idx="82">
                  <c:v>4.6762408666182713</c:v>
                </c:pt>
                <c:pt idx="83">
                  <c:v>4.7330447329446912</c:v>
                </c:pt>
                <c:pt idx="84">
                  <c:v>4.7898485992711111</c:v>
                </c:pt>
                <c:pt idx="85">
                  <c:v>4.8466524655975309</c:v>
                </c:pt>
                <c:pt idx="86">
                  <c:v>4.9034563319239508</c:v>
                </c:pt>
                <c:pt idx="87">
                  <c:v>4.9602601982503698</c:v>
                </c:pt>
                <c:pt idx="88">
                  <c:v>5.0170640645767897</c:v>
                </c:pt>
                <c:pt idx="89">
                  <c:v>5.0738679309032095</c:v>
                </c:pt>
                <c:pt idx="90">
                  <c:v>5.1306717972296294</c:v>
                </c:pt>
                <c:pt idx="91">
                  <c:v>5.1874756635560493</c:v>
                </c:pt>
                <c:pt idx="92">
                  <c:v>5.2442795298824691</c:v>
                </c:pt>
                <c:pt idx="93">
                  <c:v>5.301083396208889</c:v>
                </c:pt>
                <c:pt idx="94">
                  <c:v>5.3578872625353089</c:v>
                </c:pt>
                <c:pt idx="95">
                  <c:v>5.4146911288617279</c:v>
                </c:pt>
                <c:pt idx="96">
                  <c:v>5.4714949951881477</c:v>
                </c:pt>
                <c:pt idx="97">
                  <c:v>5.5282988615145676</c:v>
                </c:pt>
                <c:pt idx="98">
                  <c:v>5.5851027278409875</c:v>
                </c:pt>
                <c:pt idx="99">
                  <c:v>5.6419065941674074</c:v>
                </c:pt>
                <c:pt idx="100">
                  <c:v>5.6987104604938272</c:v>
                </c:pt>
              </c:numCache>
            </c:numRef>
          </c:xVal>
          <c:yVal>
            <c:numRef>
              <c:f>'C3'!$AZ$14:$AZ$1014</c:f>
              <c:numCache>
                <c:formatCode>General</c:formatCode>
                <c:ptCount val="1001"/>
                <c:pt idx="0">
                  <c:v>8.5016863732530608E-5</c:v>
                </c:pt>
                <c:pt idx="1">
                  <c:v>8.9126028842150212E-5</c:v>
                </c:pt>
                <c:pt idx="2">
                  <c:v>9.3305230049766334E-5</c:v>
                </c:pt>
                <c:pt idx="3">
                  <c:v>9.7548420437893276E-5</c:v>
                </c:pt>
                <c:pt idx="4">
                  <c:v>1.0184967599524651E-4</c:v>
                </c:pt>
                <c:pt idx="5">
                  <c:v>1.0620319561674261E-4</c:v>
                </c:pt>
                <c:pt idx="6">
                  <c:v>1.1060330110349931E-4</c:v>
                </c:pt>
                <c:pt idx="7">
                  <c:v>1.1504443716283541E-4</c:v>
                </c:pt>
                <c:pt idx="8">
                  <c:v>1.1952117140827089E-4</c:v>
                </c:pt>
                <c:pt idx="9">
                  <c:v>1.2402819435952686E-4</c:v>
                </c:pt>
                <c:pt idx="10">
                  <c:v>1.2856031944252549E-4</c:v>
                </c:pt>
                <c:pt idx="11">
                  <c:v>1.3311248298939019E-4</c:v>
                </c:pt>
                <c:pt idx="12">
                  <c:v>1.3767974423844543E-4</c:v>
                </c:pt>
                <c:pt idx="13">
                  <c:v>1.4225728533421675E-4</c:v>
                </c:pt>
                <c:pt idx="14">
                  <c:v>1.4684041132743091E-4</c:v>
                </c:pt>
                <c:pt idx="15">
                  <c:v>1.5142455017501578E-4</c:v>
                </c:pt>
                <c:pt idx="16">
                  <c:v>1.5600525274010035E-4</c:v>
                </c:pt>
                <c:pt idx="17">
                  <c:v>1.605781927920147E-4</c:v>
                </c:pt>
                <c:pt idx="18">
                  <c:v>1.6513916700629011E-4</c:v>
                </c:pt>
                <c:pt idx="19">
                  <c:v>1.6968409496465891E-4</c:v>
                </c:pt>
                <c:pt idx="20">
                  <c:v>1.7420901915505459E-4</c:v>
                </c:pt>
                <c:pt idx="21">
                  <c:v>1.7871010497161181E-4</c:v>
                </c:pt>
                <c:pt idx="22">
                  <c:v>1.8318364071466626E-4</c:v>
                </c:pt>
                <c:pt idx="23">
                  <c:v>1.8762603759075487E-4</c:v>
                </c:pt>
                <c:pt idx="24">
                  <c:v>1.920338297126156E-4</c:v>
                </c:pt>
                <c:pt idx="25">
                  <c:v>1.9640367409918765E-4</c:v>
                </c:pt>
                <c:pt idx="26">
                  <c:v>2.0073235067561118E-4</c:v>
                </c:pt>
                <c:pt idx="27">
                  <c:v>2.0501676227322764E-4</c:v>
                </c:pt>
                <c:pt idx="28">
                  <c:v>2.092539346295795E-4</c:v>
                </c:pt>
                <c:pt idx="29">
                  <c:v>2.1344101638841044E-4</c:v>
                </c:pt>
                <c:pt idx="30">
                  <c:v>2.1757527909966522E-4</c:v>
                </c:pt>
                <c:pt idx="31">
                  <c:v>2.2165411721948973E-4</c:v>
                </c:pt>
                <c:pt idx="32">
                  <c:v>2.2567504811023097E-4</c:v>
                </c:pt>
                <c:pt idx="33">
                  <c:v>2.2963571204043709E-4</c:v>
                </c:pt>
                <c:pt idx="34">
                  <c:v>2.3353387218485742E-4</c:v>
                </c:pt>
                <c:pt idx="35">
                  <c:v>2.3736741462444228E-4</c:v>
                </c:pt>
                <c:pt idx="36">
                  <c:v>2.4113434834634328E-4</c:v>
                </c:pt>
                <c:pt idx="37">
                  <c:v>2.4483280524391306E-4</c:v>
                </c:pt>
                <c:pt idx="38">
                  <c:v>2.4846104011670537E-4</c:v>
                </c:pt>
                <c:pt idx="39">
                  <c:v>2.5201743067047514E-4</c:v>
                </c:pt>
                <c:pt idx="40">
                  <c:v>2.5550047751717834E-4</c:v>
                </c:pt>
                <c:pt idx="41">
                  <c:v>2.5890880417497235E-4</c:v>
                </c:pt>
                <c:pt idx="42">
                  <c:v>2.6224115706821523E-4</c:v>
                </c:pt>
                <c:pt idx="43">
                  <c:v>2.6549640552746658E-4</c:v>
                </c:pt>
                <c:pt idx="44">
                  <c:v>2.6867354178948674E-4</c:v>
                </c:pt>
                <c:pt idx="45">
                  <c:v>2.7177168099723763E-4</c:v>
                </c:pt>
                <c:pt idx="46">
                  <c:v>2.7479006119988188E-4</c:v>
                </c:pt>
                <c:pt idx="47">
                  <c:v>2.7772804335278348E-4</c:v>
                </c:pt>
                <c:pt idx="48">
                  <c:v>2.8058511131750748E-4</c:v>
                </c:pt>
                <c:pt idx="49">
                  <c:v>2.8336087186182012E-4</c:v>
                </c:pt>
                <c:pt idx="50">
                  <c:v>2.8605505465968868E-4</c:v>
                </c:pt>
                <c:pt idx="51">
                  <c:v>2.886675122912816E-4</c:v>
                </c:pt>
                <c:pt idx="52">
                  <c:v>2.9119822024296839E-4</c:v>
                </c:pt>
                <c:pt idx="53">
                  <c:v>2.9364727690731984E-4</c:v>
                </c:pt>
                <c:pt idx="54">
                  <c:v>2.9601490358310768E-4</c:v>
                </c:pt>
                <c:pt idx="55">
                  <c:v>2.9830144447530493E-4</c:v>
                </c:pt>
                <c:pt idx="56">
                  <c:v>3.0050736669508569E-4</c:v>
                </c:pt>
                <c:pt idx="57">
                  <c:v>3.0263326025982515E-4</c:v>
                </c:pt>
                <c:pt idx="58">
                  <c:v>3.0467983809309956E-4</c:v>
                </c:pt>
                <c:pt idx="59">
                  <c:v>3.0664793602468642E-4</c:v>
                </c:pt>
                <c:pt idx="60">
                  <c:v>3.0853851279056437E-4</c:v>
                </c:pt>
                <c:pt idx="61">
                  <c:v>3.1035265003291309E-4</c:v>
                </c:pt>
                <c:pt idx="62">
                  <c:v>3.1209155230011343E-4</c:v>
                </c:pt>
                <c:pt idx="63">
                  <c:v>3.1375654704674731E-4</c:v>
                </c:pt>
                <c:pt idx="64">
                  <c:v>3.1534908463359791E-4</c:v>
                </c:pt>
                <c:pt idx="65">
                  <c:v>3.1687073832764942E-4</c:v>
                </c:pt>
                <c:pt idx="66">
                  <c:v>3.183232043020871E-4</c:v>
                </c:pt>
                <c:pt idx="67">
                  <c:v>3.1970830163629768E-4</c:v>
                </c:pt>
                <c:pt idx="68">
                  <c:v>3.2102797231586849E-4</c:v>
                </c:pt>
                <c:pt idx="69">
                  <c:v>3.2228428123258837E-4</c:v>
                </c:pt>
                <c:pt idx="70">
                  <c:v>3.2347941618444736E-4</c:v>
                </c:pt>
                <c:pt idx="71">
                  <c:v>3.24615687875636E-4</c:v>
                </c:pt>
                <c:pt idx="72">
                  <c:v>3.2569552991654693E-4</c:v>
                </c:pt>
                <c:pt idx="73">
                  <c:v>3.2672149882377285E-4</c:v>
                </c:pt>
                <c:pt idx="74">
                  <c:v>3.2769627402010873E-4</c:v>
                </c:pt>
                <c:pt idx="75">
                  <c:v>3.2862265783454962E-4</c:v>
                </c:pt>
                <c:pt idx="76">
                  <c:v>3.2950357550229239E-4</c:v>
                </c:pt>
                <c:pt idx="77">
                  <c:v>3.3034207516473464E-4</c:v>
                </c:pt>
                <c:pt idx="78">
                  <c:v>3.3114132786947524E-4</c:v>
                </c:pt>
                <c:pt idx="79">
                  <c:v>3.3190462757031435E-4</c:v>
                </c:pt>
                <c:pt idx="80">
                  <c:v>3.3263539112725283E-4</c:v>
                </c:pt>
                <c:pt idx="81">
                  <c:v>3.3333715830649341E-4</c:v>
                </c:pt>
                <c:pt idx="82">
                  <c:v>3.3401359178043908E-4</c:v>
                </c:pt>
                <c:pt idx="83">
                  <c:v>3.3466847712769433E-4</c:v>
                </c:pt>
                <c:pt idx="84">
                  <c:v>3.3530572283306515E-4</c:v>
                </c:pt>
                <c:pt idx="85">
                  <c:v>3.3592936028755804E-4</c:v>
                </c:pt>
                <c:pt idx="86">
                  <c:v>3.3654354378838099E-4</c:v>
                </c:pt>
                <c:pt idx="87">
                  <c:v>3.3715255053894295E-4</c:v>
                </c:pt>
                <c:pt idx="88">
                  <c:v>3.3776078064885414E-4</c:v>
                </c:pt>
                <c:pt idx="89">
                  <c:v>3.3837275713392595E-4</c:v>
                </c:pt>
                <c:pt idx="90">
                  <c:v>3.3899312591617039E-4</c:v>
                </c:pt>
                <c:pt idx="91">
                  <c:v>3.3962665582380151E-4</c:v>
                </c:pt>
                <c:pt idx="92">
                  <c:v>3.4027823859123364E-4</c:v>
                </c:pt>
                <c:pt idx="93">
                  <c:v>3.4095288885908274E-4</c:v>
                </c:pt>
                <c:pt idx="94">
                  <c:v>3.4165574417416571E-4</c:v>
                </c:pt>
                <c:pt idx="95">
                  <c:v>3.4239206498950028E-4</c:v>
                </c:pt>
                <c:pt idx="96">
                  <c:v>3.4316723466430612E-4</c:v>
                </c:pt>
                <c:pt idx="97">
                  <c:v>3.4398675946400341E-4</c:v>
                </c:pt>
                <c:pt idx="98">
                  <c:v>3.4485626856021318E-4</c:v>
                </c:pt>
                <c:pt idx="99">
                  <c:v>3.4578151403075836E-4</c:v>
                </c:pt>
                <c:pt idx="100">
                  <c:v>3.4676837085966233E-4</c:v>
                </c:pt>
              </c:numCache>
            </c:numRef>
          </c:yVal>
          <c:smooth val="0"/>
          <c:extLst>
            <c:ext xmlns:c16="http://schemas.microsoft.com/office/drawing/2014/chart" uri="{C3380CC4-5D6E-409C-BE32-E72D297353CC}">
              <c16:uniqueId val="{00000002-CAB3-4106-B379-732890D41242}"/>
            </c:ext>
          </c:extLst>
        </c:ser>
        <c:ser>
          <c:idx val="1"/>
          <c:order val="2"/>
          <c:tx>
            <c:v>サンプルデータ</c:v>
          </c:tx>
          <c:spPr>
            <a:ln w="19050" cap="rnd">
              <a:noFill/>
              <a:round/>
            </a:ln>
            <a:effectLst/>
          </c:spPr>
          <c:marker>
            <c:symbol val="circle"/>
            <c:size val="5"/>
            <c:spPr>
              <a:solidFill>
                <a:schemeClr val="bg1"/>
              </a:solidFill>
              <a:ln w="9525">
                <a:solidFill>
                  <a:srgbClr val="FF0000"/>
                </a:solidFill>
              </a:ln>
              <a:effectLst/>
            </c:spPr>
          </c:marker>
          <c:xVal>
            <c:numRef>
              <c:f>'C3'!$Q$11:$Q$110</c:f>
              <c:numCache>
                <c:formatCode>General</c:formatCode>
                <c:ptCount val="100"/>
                <c:pt idx="0">
                  <c:v>1.832382785185185E-2</c:v>
                </c:pt>
                <c:pt idx="1">
                  <c:v>0.15575253666666669</c:v>
                </c:pt>
                <c:pt idx="2">
                  <c:v>0.32982890123456787</c:v>
                </c:pt>
                <c:pt idx="3">
                  <c:v>0.47641952407407406</c:v>
                </c:pt>
                <c:pt idx="4">
                  <c:v>0.65049588864197538</c:v>
                </c:pt>
                <c:pt idx="5">
                  <c:v>0.83373416703703696</c:v>
                </c:pt>
                <c:pt idx="6">
                  <c:v>1.0078105316049382</c:v>
                </c:pt>
                <c:pt idx="7">
                  <c:v>1.2093726379012346</c:v>
                </c:pt>
                <c:pt idx="8">
                  <c:v>1.3651251740740742</c:v>
                </c:pt>
                <c:pt idx="9">
                  <c:v>1.5666872814814814</c:v>
                </c:pt>
                <c:pt idx="10">
                  <c:v>1.804897043209877</c:v>
                </c:pt>
                <c:pt idx="11">
                  <c:v>2.0156210629629632</c:v>
                </c:pt>
                <c:pt idx="12">
                  <c:v>2.2263450839506174</c:v>
                </c:pt>
                <c:pt idx="13">
                  <c:v>2.4279071901234568</c:v>
                </c:pt>
                <c:pt idx="14">
                  <c:v>2.6661169518518517</c:v>
                </c:pt>
                <c:pt idx="15">
                  <c:v>2.8676790580246916</c:v>
                </c:pt>
                <c:pt idx="16">
                  <c:v>3.0417554222222223</c:v>
                </c:pt>
                <c:pt idx="17">
                  <c:v>3.197507959259259</c:v>
                </c:pt>
                <c:pt idx="18">
                  <c:v>3.3349366679012347</c:v>
                </c:pt>
                <c:pt idx="19">
                  <c:v>3.4723653765432103</c:v>
                </c:pt>
                <c:pt idx="20">
                  <c:v>3.6556036555555562</c:v>
                </c:pt>
                <c:pt idx="21">
                  <c:v>3.848003848148148</c:v>
                </c:pt>
                <c:pt idx="22">
                  <c:v>4.0587278679012355</c:v>
                </c:pt>
                <c:pt idx="23">
                  <c:v>4.296937630864198</c:v>
                </c:pt>
                <c:pt idx="24">
                  <c:v>4.4984997370370365</c:v>
                </c:pt>
                <c:pt idx="25">
                  <c:v>4.6725761012345686</c:v>
                </c:pt>
                <c:pt idx="26">
                  <c:v>4.8833001209876539</c:v>
                </c:pt>
                <c:pt idx="27">
                  <c:v>5.1123479691358034</c:v>
                </c:pt>
                <c:pt idx="28">
                  <c:v>5.2681005061728392</c:v>
                </c:pt>
                <c:pt idx="29">
                  <c:v>5.442176870370373</c:v>
                </c:pt>
                <c:pt idx="30">
                  <c:v>5.6070913209876556</c:v>
                </c:pt>
                <c:pt idx="31">
                  <c:v>5.6987104604938272</c:v>
                </c:pt>
              </c:numCache>
            </c:numRef>
          </c:xVal>
          <c:yVal>
            <c:numRef>
              <c:f>'C3'!$P$11:$P$110</c:f>
              <c:numCache>
                <c:formatCode>General</c:formatCode>
                <c:ptCount val="100"/>
                <c:pt idx="0">
                  <c:v>8.6487099603718936E-5</c:v>
                </c:pt>
                <c:pt idx="1">
                  <c:v>9.4994027434842259E-5</c:v>
                </c:pt>
                <c:pt idx="2">
                  <c:v>1.0917224048163389E-4</c:v>
                </c:pt>
                <c:pt idx="3">
                  <c:v>1.1626134700502971E-4</c:v>
                </c:pt>
                <c:pt idx="4">
                  <c:v>1.3327520266727635E-4</c:v>
                </c:pt>
                <c:pt idx="5">
                  <c:v>1.4887123700655389E-4</c:v>
                </c:pt>
                <c:pt idx="6">
                  <c:v>1.630494500838287E-4</c:v>
                </c:pt>
                <c:pt idx="7">
                  <c:v>1.7722766316110352E-4</c:v>
                </c:pt>
                <c:pt idx="8">
                  <c:v>1.9282369745465632E-4</c:v>
                </c:pt>
                <c:pt idx="9">
                  <c:v>2.0558408916323732E-4</c:v>
                </c:pt>
                <c:pt idx="10">
                  <c:v>2.2259794482548388E-4</c:v>
                </c:pt>
                <c:pt idx="11">
                  <c:v>2.3819397927145254E-4</c:v>
                </c:pt>
                <c:pt idx="12">
                  <c:v>2.5520783493369908E-4</c:v>
                </c:pt>
                <c:pt idx="13">
                  <c:v>2.6371476268861459E-4</c:v>
                </c:pt>
                <c:pt idx="14">
                  <c:v>2.7647515439719553E-4</c:v>
                </c:pt>
                <c:pt idx="15">
                  <c:v>2.8639990352080478E-4</c:v>
                </c:pt>
                <c:pt idx="16">
                  <c:v>2.9065336747447038E-4</c:v>
                </c:pt>
                <c:pt idx="17">
                  <c:v>3.0199593796677337E-4</c:v>
                </c:pt>
                <c:pt idx="18">
                  <c:v>3.0624940192043891E-4</c:v>
                </c:pt>
                <c:pt idx="19">
                  <c:v>3.0908504450541076E-4</c:v>
                </c:pt>
                <c:pt idx="20">
                  <c:v>3.1475632967535436E-4</c:v>
                </c:pt>
                <c:pt idx="21">
                  <c:v>3.2042761484529797E-4</c:v>
                </c:pt>
                <c:pt idx="22">
                  <c:v>3.2468107879896361E-4</c:v>
                </c:pt>
                <c:pt idx="23">
                  <c:v>3.2751672138393536E-4</c:v>
                </c:pt>
                <c:pt idx="24">
                  <c:v>3.3177018533760101E-4</c:v>
                </c:pt>
                <c:pt idx="25">
                  <c:v>3.3460582792257276E-4</c:v>
                </c:pt>
                <c:pt idx="26">
                  <c:v>3.3744147050754456E-4</c:v>
                </c:pt>
                <c:pt idx="27">
                  <c:v>3.3885929187623835E-4</c:v>
                </c:pt>
                <c:pt idx="28">
                  <c:v>3.402771132449322E-4</c:v>
                </c:pt>
                <c:pt idx="29">
                  <c:v>3.4453057704618195E-4</c:v>
                </c:pt>
                <c:pt idx="30">
                  <c:v>3.4594839841487575E-4</c:v>
                </c:pt>
                <c:pt idx="31">
                  <c:v>3.4453057704618195E-4</c:v>
                </c:pt>
              </c:numCache>
            </c:numRef>
          </c:yVal>
          <c:smooth val="0"/>
          <c:extLst>
            <c:ext xmlns:c16="http://schemas.microsoft.com/office/drawing/2014/chart" uri="{C3380CC4-5D6E-409C-BE32-E72D297353CC}">
              <c16:uniqueId val="{00000001-CAB3-4106-B379-732890D41242}"/>
            </c:ext>
          </c:extLst>
        </c:ser>
        <c:dLbls>
          <c:showLegendKey val="0"/>
          <c:showVal val="0"/>
          <c:showCatName val="0"/>
          <c:showSerName val="0"/>
          <c:showPercent val="0"/>
          <c:showBubbleSize val="0"/>
        </c:dLbls>
        <c:axId val="1866239839"/>
        <c:axId val="170578446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C</a:t>
                </a:r>
                <a:r>
                  <a:rPr lang="en-US" altLang="ja-JP" baseline="-25000"/>
                  <a:t>f</a:t>
                </a:r>
                <a:r>
                  <a:rPr lang="en-US" altLang="ja-JP"/>
                  <a:t>[-]</a:t>
                </a:r>
                <a:endParaRPr lang="ja-JP" altLang="en-US"/>
              </a:p>
            </c:rich>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C</a:t>
                </a:r>
                <a:r>
                  <a:rPr lang="en-US" altLang="ja-JP" baseline="-25000"/>
                  <a:t>W</a:t>
                </a:r>
                <a:r>
                  <a:rPr lang="en-US" altLang="ja-JP"/>
                  <a:t>[-]</a:t>
                </a:r>
                <a:endParaRPr lang="ja-JP" altLang="en-US"/>
              </a:p>
            </c:rich>
          </c:tx>
          <c:layout>
            <c:manualLayout>
              <c:xMode val="edge"/>
              <c:yMode val="edge"/>
              <c:x val="2.4939783761597713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spPr>
        <a:solidFill>
          <a:schemeClr val="bg1"/>
        </a:solidFill>
        <a:ln>
          <a:noFill/>
        </a:ln>
        <a:effectLst/>
      </c:spPr>
    </c:plotArea>
    <c:legend>
      <c:legendPos val="t"/>
      <c:layout>
        <c:manualLayout>
          <c:xMode val="edge"/>
          <c:yMode val="edge"/>
          <c:x val="0"/>
          <c:y val="8.23045267489712E-3"/>
          <c:w val="0.99917695473251034"/>
          <c:h val="5.884812546579825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9949774796668"/>
          <c:y val="6.7644211140274135E-2"/>
          <c:w val="0.78011967639847479"/>
          <c:h val="0.79875856258708411"/>
        </c:manualLayout>
      </c:layout>
      <c:scatterChart>
        <c:scatterStyle val="lineMarker"/>
        <c:varyColors val="0"/>
        <c:ser>
          <c:idx val="0"/>
          <c:order val="0"/>
          <c:tx>
            <c:v>回帰曲線</c:v>
          </c:tx>
          <c:spPr>
            <a:ln w="19050" cap="rnd">
              <a:solidFill>
                <a:schemeClr val="accent1"/>
              </a:solidFill>
              <a:round/>
            </a:ln>
            <a:effectLst/>
          </c:spPr>
          <c:marker>
            <c:symbol val="none"/>
          </c:marker>
          <c:xVal>
            <c:numRef>
              <c:f>'C3'!$BJ$14:$BJ$1013</c:f>
              <c:numCache>
                <c:formatCode>General</c:formatCode>
                <c:ptCount val="1000"/>
                <c:pt idx="0">
                  <c:v>14.842300559999998</c:v>
                </c:pt>
                <c:pt idx="1">
                  <c:v>60.853432284399986</c:v>
                </c:pt>
                <c:pt idx="2">
                  <c:v>106.86456400879997</c:v>
                </c:pt>
                <c:pt idx="3">
                  <c:v>152.87569573320005</c:v>
                </c:pt>
                <c:pt idx="4">
                  <c:v>198.88682745760002</c:v>
                </c:pt>
                <c:pt idx="5">
                  <c:v>244.89795918199997</c:v>
                </c:pt>
                <c:pt idx="6">
                  <c:v>290.90909090639997</c:v>
                </c:pt>
                <c:pt idx="7">
                  <c:v>336.92022263079997</c:v>
                </c:pt>
                <c:pt idx="8">
                  <c:v>382.93135435519997</c:v>
                </c:pt>
                <c:pt idx="9">
                  <c:v>428.94248607959997</c:v>
                </c:pt>
                <c:pt idx="10">
                  <c:v>474.95361780399998</c:v>
                </c:pt>
                <c:pt idx="11">
                  <c:v>520.96474952839992</c:v>
                </c:pt>
                <c:pt idx="12">
                  <c:v>566.97588125280004</c:v>
                </c:pt>
                <c:pt idx="13">
                  <c:v>612.98701297720004</c:v>
                </c:pt>
                <c:pt idx="14">
                  <c:v>658.99814470159993</c:v>
                </c:pt>
                <c:pt idx="15">
                  <c:v>705.00927642599993</c:v>
                </c:pt>
                <c:pt idx="16">
                  <c:v>751.02040815040004</c:v>
                </c:pt>
                <c:pt idx="17">
                  <c:v>797.03153987480005</c:v>
                </c:pt>
                <c:pt idx="18">
                  <c:v>843.04267159919993</c:v>
                </c:pt>
                <c:pt idx="19">
                  <c:v>889.05380332360016</c:v>
                </c:pt>
                <c:pt idx="20">
                  <c:v>935.06493504799994</c:v>
                </c:pt>
                <c:pt idx="21">
                  <c:v>981.07606677240005</c:v>
                </c:pt>
                <c:pt idx="22">
                  <c:v>1027.0871984967998</c:v>
                </c:pt>
                <c:pt idx="23">
                  <c:v>1073.0983302211998</c:v>
                </c:pt>
                <c:pt idx="24">
                  <c:v>1119.1094619455998</c:v>
                </c:pt>
                <c:pt idx="25">
                  <c:v>1165.1205936700001</c:v>
                </c:pt>
                <c:pt idx="26">
                  <c:v>1211.1317253943998</c:v>
                </c:pt>
                <c:pt idx="27">
                  <c:v>1257.1428571188001</c:v>
                </c:pt>
                <c:pt idx="28">
                  <c:v>1303.1539888431998</c:v>
                </c:pt>
                <c:pt idx="29">
                  <c:v>1349.1651205676001</c:v>
                </c:pt>
                <c:pt idx="30">
                  <c:v>1395.1762522920001</c:v>
                </c:pt>
                <c:pt idx="31">
                  <c:v>1441.1873840164001</c:v>
                </c:pt>
                <c:pt idx="32">
                  <c:v>1487.1985157408003</c:v>
                </c:pt>
                <c:pt idx="33">
                  <c:v>1533.2096474652003</c:v>
                </c:pt>
                <c:pt idx="34">
                  <c:v>1579.2207791895999</c:v>
                </c:pt>
                <c:pt idx="35">
                  <c:v>1625.2319109139999</c:v>
                </c:pt>
                <c:pt idx="36">
                  <c:v>1671.2430426384001</c:v>
                </c:pt>
                <c:pt idx="37">
                  <c:v>1717.2541743628001</c:v>
                </c:pt>
                <c:pt idx="38">
                  <c:v>1763.2653060872003</c:v>
                </c:pt>
                <c:pt idx="39">
                  <c:v>1809.2764378116001</c:v>
                </c:pt>
                <c:pt idx="40">
                  <c:v>1855.2875695359999</c:v>
                </c:pt>
                <c:pt idx="41">
                  <c:v>1901.2987012604001</c:v>
                </c:pt>
                <c:pt idx="42">
                  <c:v>1947.3098329848001</c:v>
                </c:pt>
                <c:pt idx="43">
                  <c:v>1993.3209647092006</c:v>
                </c:pt>
                <c:pt idx="44">
                  <c:v>2039.3320964336001</c:v>
                </c:pt>
                <c:pt idx="45">
                  <c:v>2085.3432281580003</c:v>
                </c:pt>
                <c:pt idx="46">
                  <c:v>2131.3543598824003</c:v>
                </c:pt>
                <c:pt idx="47">
                  <c:v>2177.3654916068003</c:v>
                </c:pt>
                <c:pt idx="48">
                  <c:v>2223.3766233311999</c:v>
                </c:pt>
                <c:pt idx="49">
                  <c:v>2269.3877550556003</c:v>
                </c:pt>
                <c:pt idx="50">
                  <c:v>2315.3988867800003</c:v>
                </c:pt>
                <c:pt idx="51">
                  <c:v>2361.4100185043999</c:v>
                </c:pt>
                <c:pt idx="52">
                  <c:v>2407.4211502288003</c:v>
                </c:pt>
                <c:pt idx="53">
                  <c:v>2453.4322819531999</c:v>
                </c:pt>
                <c:pt idx="54">
                  <c:v>2499.4434136776003</c:v>
                </c:pt>
                <c:pt idx="55">
                  <c:v>2545.4545454019999</c:v>
                </c:pt>
                <c:pt idx="56">
                  <c:v>2591.4656771264004</c:v>
                </c:pt>
                <c:pt idx="57">
                  <c:v>2637.4768088507999</c:v>
                </c:pt>
                <c:pt idx="58">
                  <c:v>2683.4879405752004</c:v>
                </c:pt>
                <c:pt idx="59">
                  <c:v>2729.4990722996004</c:v>
                </c:pt>
                <c:pt idx="60">
                  <c:v>2775.5102040240008</c:v>
                </c:pt>
                <c:pt idx="61">
                  <c:v>2821.5213357484008</c:v>
                </c:pt>
                <c:pt idx="62">
                  <c:v>2867.5324674728008</c:v>
                </c:pt>
                <c:pt idx="63">
                  <c:v>2913.5435991971999</c:v>
                </c:pt>
                <c:pt idx="64">
                  <c:v>2959.5547309215999</c:v>
                </c:pt>
                <c:pt idx="65">
                  <c:v>3005.5658626460004</c:v>
                </c:pt>
                <c:pt idx="66">
                  <c:v>3051.5769943703999</c:v>
                </c:pt>
                <c:pt idx="67">
                  <c:v>3097.5881260947999</c:v>
                </c:pt>
                <c:pt idx="68">
                  <c:v>3143.5992578192004</c:v>
                </c:pt>
                <c:pt idx="69">
                  <c:v>3189.6103895436004</c:v>
                </c:pt>
                <c:pt idx="70">
                  <c:v>3235.6215212679999</c:v>
                </c:pt>
                <c:pt idx="71">
                  <c:v>3281.6326529924004</c:v>
                </c:pt>
                <c:pt idx="72">
                  <c:v>3327.6437847167995</c:v>
                </c:pt>
                <c:pt idx="73">
                  <c:v>3373.6549164411995</c:v>
                </c:pt>
                <c:pt idx="74">
                  <c:v>3419.6660481655999</c:v>
                </c:pt>
                <c:pt idx="75">
                  <c:v>3465.6771798899999</c:v>
                </c:pt>
                <c:pt idx="76">
                  <c:v>3511.6883116143999</c:v>
                </c:pt>
                <c:pt idx="77">
                  <c:v>3557.6994433388004</c:v>
                </c:pt>
                <c:pt idx="78">
                  <c:v>3603.7105750631995</c:v>
                </c:pt>
                <c:pt idx="79">
                  <c:v>3649.7217067876004</c:v>
                </c:pt>
                <c:pt idx="80">
                  <c:v>3695.7328385120004</c:v>
                </c:pt>
                <c:pt idx="81">
                  <c:v>3741.7439702363995</c:v>
                </c:pt>
                <c:pt idx="82">
                  <c:v>3787.7551019607995</c:v>
                </c:pt>
                <c:pt idx="83">
                  <c:v>3833.7662336852004</c:v>
                </c:pt>
                <c:pt idx="84">
                  <c:v>3879.7773654096004</c:v>
                </c:pt>
                <c:pt idx="85">
                  <c:v>3925.7884971339995</c:v>
                </c:pt>
                <c:pt idx="86">
                  <c:v>3971.7996288584</c:v>
                </c:pt>
                <c:pt idx="87">
                  <c:v>4017.8107605828</c:v>
                </c:pt>
                <c:pt idx="88">
                  <c:v>4063.8218923072</c:v>
                </c:pt>
                <c:pt idx="89">
                  <c:v>4109.8330240315991</c:v>
                </c:pt>
                <c:pt idx="90">
                  <c:v>4155.8441557559991</c:v>
                </c:pt>
                <c:pt idx="91">
                  <c:v>4201.8552874804</c:v>
                </c:pt>
                <c:pt idx="92">
                  <c:v>4247.8664192048018</c:v>
                </c:pt>
                <c:pt idx="93">
                  <c:v>4293.8775509292</c:v>
                </c:pt>
                <c:pt idx="94">
                  <c:v>4339.8886826536009</c:v>
                </c:pt>
                <c:pt idx="95">
                  <c:v>4385.8998143779991</c:v>
                </c:pt>
                <c:pt idx="96">
                  <c:v>4431.9109461024</c:v>
                </c:pt>
                <c:pt idx="97">
                  <c:v>4477.9220778268</c:v>
                </c:pt>
                <c:pt idx="98">
                  <c:v>4523.9332095512</c:v>
                </c:pt>
                <c:pt idx="99">
                  <c:v>4569.9443412756</c:v>
                </c:pt>
                <c:pt idx="100">
                  <c:v>4615.9554730000009</c:v>
                </c:pt>
              </c:numCache>
            </c:numRef>
          </c:xVal>
          <c:yVal>
            <c:numRef>
              <c:f>'C3'!$BI$14:$BI$1013</c:f>
              <c:numCache>
                <c:formatCode>General</c:formatCode>
                <c:ptCount val="1000"/>
                <c:pt idx="0">
                  <c:v>5.5779564294913335</c:v>
                </c:pt>
                <c:pt idx="1">
                  <c:v>5.8475587523334749</c:v>
                </c:pt>
                <c:pt idx="2">
                  <c:v>6.1217561435651682</c:v>
                </c:pt>
                <c:pt idx="3">
                  <c:v>6.4001518649301774</c:v>
                </c:pt>
                <c:pt idx="4">
                  <c:v>6.6823572420481234</c:v>
                </c:pt>
                <c:pt idx="5">
                  <c:v>6.967991664414483</c:v>
                </c:pt>
                <c:pt idx="6">
                  <c:v>7.256682585400589</c:v>
                </c:pt>
                <c:pt idx="7">
                  <c:v>7.5480655222536308</c:v>
                </c:pt>
                <c:pt idx="8">
                  <c:v>7.8417840560966514</c:v>
                </c:pt>
                <c:pt idx="9">
                  <c:v>8.1374898319285567</c:v>
                </c:pt>
                <c:pt idx="10">
                  <c:v>8.434842558624096</c:v>
                </c:pt>
                <c:pt idx="11">
                  <c:v>8.7335100089338891</c:v>
                </c:pt>
                <c:pt idx="12">
                  <c:v>9.0331680194844033</c:v>
                </c:pt>
                <c:pt idx="13">
                  <c:v>9.3335004907779613</c:v>
                </c:pt>
                <c:pt idx="14">
                  <c:v>9.6341993871927425</c:v>
                </c:pt>
                <c:pt idx="15">
                  <c:v>9.9349647369827832</c:v>
                </c:pt>
                <c:pt idx="16">
                  <c:v>10.235504632277985</c:v>
                </c:pt>
                <c:pt idx="17">
                  <c:v>10.535535229084084</c:v>
                </c:pt>
                <c:pt idx="18">
                  <c:v>10.834780747282693</c:v>
                </c:pt>
                <c:pt idx="19">
                  <c:v>11.132973470631271</c:v>
                </c:pt>
                <c:pt idx="20">
                  <c:v>11.429853746763131</c:v>
                </c:pt>
                <c:pt idx="21">
                  <c:v>11.725169987187449</c:v>
                </c:pt>
                <c:pt idx="22">
                  <c:v>12.018678667289251</c:v>
                </c:pt>
                <c:pt idx="23">
                  <c:v>12.310144326329427</c:v>
                </c:pt>
                <c:pt idx="24">
                  <c:v>12.59933956744471</c:v>
                </c:pt>
                <c:pt idx="25">
                  <c:v>12.886045057647701</c:v>
                </c:pt>
                <c:pt idx="26">
                  <c:v>13.170049527826849</c:v>
                </c:pt>
                <c:pt idx="27">
                  <c:v>13.451149772746467</c:v>
                </c:pt>
                <c:pt idx="28">
                  <c:v>13.729150651046711</c:v>
                </c:pt>
                <c:pt idx="29">
                  <c:v>14.003865085243607</c:v>
                </c:pt>
                <c:pt idx="30">
                  <c:v>14.275114061729033</c:v>
                </c:pt>
                <c:pt idx="31">
                  <c:v>14.542726630770721</c:v>
                </c:pt>
                <c:pt idx="32">
                  <c:v>14.806539906512253</c:v>
                </c:pt>
                <c:pt idx="33">
                  <c:v>15.066399066973077</c:v>
                </c:pt>
                <c:pt idx="34">
                  <c:v>15.322157354048493</c:v>
                </c:pt>
                <c:pt idx="35">
                  <c:v>15.573676073509656</c:v>
                </c:pt>
                <c:pt idx="36">
                  <c:v>15.820824595003582</c:v>
                </c:pt>
                <c:pt idx="37">
                  <c:v>16.063480352053134</c:v>
                </c:pt>
                <c:pt idx="38">
                  <c:v>16.301528842057039</c:v>
                </c:pt>
                <c:pt idx="39">
                  <c:v>16.534863626289873</c:v>
                </c:pt>
                <c:pt idx="40">
                  <c:v>16.763386329902072</c:v>
                </c:pt>
                <c:pt idx="41">
                  <c:v>16.987006641919937</c:v>
                </c:pt>
                <c:pt idx="42">
                  <c:v>17.205642315245598</c:v>
                </c:pt>
                <c:pt idx="43">
                  <c:v>17.419219166657083</c:v>
                </c:pt>
                <c:pt idx="44">
                  <c:v>17.627671076808223</c:v>
                </c:pt>
                <c:pt idx="45">
                  <c:v>17.83093999022876</c:v>
                </c:pt>
                <c:pt idx="46">
                  <c:v>18.028975915324249</c:v>
                </c:pt>
                <c:pt idx="47">
                  <c:v>18.22173692437612</c:v>
                </c:pt>
                <c:pt idx="48">
                  <c:v>18.409189153541664</c:v>
                </c:pt>
                <c:pt idx="49">
                  <c:v>18.591306802854017</c:v>
                </c:pt>
                <c:pt idx="50">
                  <c:v>18.768072136222173</c:v>
                </c:pt>
                <c:pt idx="51">
                  <c:v>18.939475481430986</c:v>
                </c:pt>
                <c:pt idx="52">
                  <c:v>19.105515230141155</c:v>
                </c:pt>
                <c:pt idx="53">
                  <c:v>19.266197837889255</c:v>
                </c:pt>
                <c:pt idx="54">
                  <c:v>19.421537824087693</c:v>
                </c:pt>
                <c:pt idx="55">
                  <c:v>19.571557772024754</c:v>
                </c:pt>
                <c:pt idx="56">
                  <c:v>19.716288328864572</c:v>
                </c:pt>
                <c:pt idx="57">
                  <c:v>19.855768205647127</c:v>
                </c:pt>
                <c:pt idx="58">
                  <c:v>19.990044177288258</c:v>
                </c:pt>
                <c:pt idx="59">
                  <c:v>20.119171082579676</c:v>
                </c:pt>
                <c:pt idx="60">
                  <c:v>20.243211824188929</c:v>
                </c:pt>
                <c:pt idx="61">
                  <c:v>20.362237368659425</c:v>
                </c:pt>
                <c:pt idx="62">
                  <c:v>20.476326746410443</c:v>
                </c:pt>
                <c:pt idx="63">
                  <c:v>20.58556705173709</c:v>
                </c:pt>
                <c:pt idx="64">
                  <c:v>20.690053442810356</c:v>
                </c:pt>
                <c:pt idx="65">
                  <c:v>20.789889141677076</c:v>
                </c:pt>
                <c:pt idx="66">
                  <c:v>20.885185434259935</c:v>
                </c:pt>
                <c:pt idx="67">
                  <c:v>20.976061670357492</c:v>
                </c:pt>
                <c:pt idx="68">
                  <c:v>21.062645263644132</c:v>
                </c:pt>
                <c:pt idx="69">
                  <c:v>21.145071691670122</c:v>
                </c:pt>
                <c:pt idx="70">
                  <c:v>21.223484495861587</c:v>
                </c:pt>
                <c:pt idx="71">
                  <c:v>21.298035281520473</c:v>
                </c:pt>
                <c:pt idx="72">
                  <c:v>21.368883717824641</c:v>
                </c:pt>
                <c:pt idx="73">
                  <c:v>21.436197537827734</c:v>
                </c:pt>
                <c:pt idx="74">
                  <c:v>21.500152538459332</c:v>
                </c:pt>
                <c:pt idx="75">
                  <c:v>21.560932580524803</c:v>
                </c:pt>
                <c:pt idx="76">
                  <c:v>21.618729588705403</c:v>
                </c:pt>
                <c:pt idx="77">
                  <c:v>21.673743551558239</c:v>
                </c:pt>
                <c:pt idx="78">
                  <c:v>21.726182521516268</c:v>
                </c:pt>
                <c:pt idx="79">
                  <c:v>21.776262614888324</c:v>
                </c:pt>
                <c:pt idx="80">
                  <c:v>21.824208011859056</c:v>
                </c:pt>
                <c:pt idx="81">
                  <c:v>21.870250956489031</c:v>
                </c:pt>
                <c:pt idx="82">
                  <c:v>21.914631756714609</c:v>
                </c:pt>
                <c:pt idx="83">
                  <c:v>21.957598784348026</c:v>
                </c:pt>
                <c:pt idx="84">
                  <c:v>21.999408475077406</c:v>
                </c:pt>
                <c:pt idx="85">
                  <c:v>22.040325328466682</c:v>
                </c:pt>
                <c:pt idx="86">
                  <c:v>22.080621907955674</c:v>
                </c:pt>
                <c:pt idx="87">
                  <c:v>22.120578840860045</c:v>
                </c:pt>
                <c:pt idx="88">
                  <c:v>22.160484818371316</c:v>
                </c:pt>
                <c:pt idx="89">
                  <c:v>22.200636595556883</c:v>
                </c:pt>
                <c:pt idx="90">
                  <c:v>22.241338991359939</c:v>
                </c:pt>
                <c:pt idx="91">
                  <c:v>22.282904888599617</c:v>
                </c:pt>
                <c:pt idx="92">
                  <c:v>22.325655233970839</c:v>
                </c:pt>
                <c:pt idx="93">
                  <c:v>22.369919038044419</c:v>
                </c:pt>
                <c:pt idx="94">
                  <c:v>22.416033375267009</c:v>
                </c:pt>
                <c:pt idx="95">
                  <c:v>22.464343383961111</c:v>
                </c:pt>
                <c:pt idx="96">
                  <c:v>22.515202266325122</c:v>
                </c:pt>
                <c:pt idx="97">
                  <c:v>22.568971288433264</c:v>
                </c:pt>
                <c:pt idx="98">
                  <c:v>22.626019780235584</c:v>
                </c:pt>
                <c:pt idx="99">
                  <c:v>22.686725135558053</c:v>
                </c:pt>
                <c:pt idx="100">
                  <c:v>22.751472812102442</c:v>
                </c:pt>
              </c:numCache>
            </c:numRef>
          </c:yVal>
          <c:smooth val="0"/>
          <c:extLst>
            <c:ext xmlns:c16="http://schemas.microsoft.com/office/drawing/2014/chart" uri="{C3380CC4-5D6E-409C-BE32-E72D297353CC}">
              <c16:uniqueId val="{00000000-56C7-4A87-9C81-8C3759882B52}"/>
            </c:ext>
          </c:extLst>
        </c:ser>
        <c:ser>
          <c:idx val="1"/>
          <c:order val="1"/>
          <c:tx>
            <c:v>サンプルデータ</c:v>
          </c:tx>
          <c:spPr>
            <a:ln w="19050" cap="rnd">
              <a:noFill/>
              <a:round/>
            </a:ln>
            <a:effectLst/>
          </c:spPr>
          <c:marker>
            <c:symbol val="circle"/>
            <c:size val="8"/>
            <c:spPr>
              <a:noFill/>
              <a:ln w="9525">
                <a:solidFill>
                  <a:schemeClr val="accent1"/>
                </a:solidFill>
              </a:ln>
              <a:effectLst/>
            </c:spPr>
          </c:marker>
          <c:xVal>
            <c:numRef>
              <c:f>'C3'!$BQ$14:$BQ$1013</c:f>
              <c:numCache>
                <c:formatCode>General</c:formatCode>
                <c:ptCount val="1000"/>
                <c:pt idx="0">
                  <c:v>14.842300559999998</c:v>
                </c:pt>
                <c:pt idx="1">
                  <c:v>126.15955470000002</c:v>
                </c:pt>
                <c:pt idx="2">
                  <c:v>267.16140999999999</c:v>
                </c:pt>
                <c:pt idx="3">
                  <c:v>385.89981449999999</c:v>
                </c:pt>
                <c:pt idx="4">
                  <c:v>526.90166980000004</c:v>
                </c:pt>
                <c:pt idx="5">
                  <c:v>675.32467529999997</c:v>
                </c:pt>
                <c:pt idx="6">
                  <c:v>816.32653059999996</c:v>
                </c:pt>
                <c:pt idx="7">
                  <c:v>979.59183670000016</c:v>
                </c:pt>
                <c:pt idx="8">
                  <c:v>1105.7513910000002</c:v>
                </c:pt>
                <c:pt idx="9">
                  <c:v>1269.0166979999999</c:v>
                </c:pt>
                <c:pt idx="10">
                  <c:v>1461.9666050000003</c:v>
                </c:pt>
                <c:pt idx="11">
                  <c:v>1632.653061</c:v>
                </c:pt>
                <c:pt idx="12">
                  <c:v>1803.3395179999998</c:v>
                </c:pt>
                <c:pt idx="13">
                  <c:v>1966.6048240000002</c:v>
                </c:pt>
                <c:pt idx="14">
                  <c:v>2159.5547310000002</c:v>
                </c:pt>
                <c:pt idx="15">
                  <c:v>2322.8200370000004</c:v>
                </c:pt>
                <c:pt idx="16">
                  <c:v>2463.8218919999999</c:v>
                </c:pt>
                <c:pt idx="17">
                  <c:v>2589.9814470000001</c:v>
                </c:pt>
                <c:pt idx="18">
                  <c:v>2701.2987010000006</c:v>
                </c:pt>
                <c:pt idx="19">
                  <c:v>2812.6159550000007</c:v>
                </c:pt>
                <c:pt idx="20">
                  <c:v>2961.0389610000007</c:v>
                </c:pt>
                <c:pt idx="21">
                  <c:v>3116.8831170000003</c:v>
                </c:pt>
                <c:pt idx="22">
                  <c:v>3287.5695730000007</c:v>
                </c:pt>
                <c:pt idx="23">
                  <c:v>3480.5194810000003</c:v>
                </c:pt>
                <c:pt idx="24">
                  <c:v>3643.7847869999991</c:v>
                </c:pt>
                <c:pt idx="25">
                  <c:v>3784.7866420000005</c:v>
                </c:pt>
                <c:pt idx="26">
                  <c:v>3955.4730979999995</c:v>
                </c:pt>
                <c:pt idx="27">
                  <c:v>4141.0018550000004</c:v>
                </c:pt>
                <c:pt idx="28">
                  <c:v>4267.1614100000006</c:v>
                </c:pt>
                <c:pt idx="29">
                  <c:v>4408.163265000002</c:v>
                </c:pt>
                <c:pt idx="30">
                  <c:v>4541.7439700000004</c:v>
                </c:pt>
                <c:pt idx="31">
                  <c:v>4615.9554730000009</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'C3'!$BP$14:$BP$1013</c:f>
              <c:numCache>
                <c:formatCode>General</c:formatCode>
                <c:ptCount val="1000"/>
                <c:pt idx="0">
                  <c:v>5.6744186049999996</c:v>
                </c:pt>
                <c:pt idx="1">
                  <c:v>6.2325581400000001</c:v>
                </c:pt>
                <c:pt idx="2">
                  <c:v>7.1627906979999993</c:v>
                </c:pt>
                <c:pt idx="3">
                  <c:v>7.6279069769999994</c:v>
                </c:pt>
                <c:pt idx="4">
                  <c:v>8.7441860470000012</c:v>
                </c:pt>
                <c:pt idx="5">
                  <c:v>9.7674418599999999</c:v>
                </c:pt>
                <c:pt idx="6">
                  <c:v>10.69767442</c:v>
                </c:pt>
                <c:pt idx="7">
                  <c:v>11.627906980000001</c:v>
                </c:pt>
                <c:pt idx="8">
                  <c:v>12.651162790000001</c:v>
                </c:pt>
                <c:pt idx="9">
                  <c:v>13.488372089999999</c:v>
                </c:pt>
                <c:pt idx="10">
                  <c:v>14.604651159999996</c:v>
                </c:pt>
                <c:pt idx="11">
                  <c:v>15.627906980000001</c:v>
                </c:pt>
                <c:pt idx="12">
                  <c:v>16.744186049999996</c:v>
                </c:pt>
                <c:pt idx="13">
                  <c:v>17.302325580000002</c:v>
                </c:pt>
                <c:pt idx="14">
                  <c:v>18.139534879999999</c:v>
                </c:pt>
                <c:pt idx="15">
                  <c:v>18.790697670000004</c:v>
                </c:pt>
                <c:pt idx="16">
                  <c:v>19.069767440000003</c:v>
                </c:pt>
                <c:pt idx="17">
                  <c:v>19.813953489999999</c:v>
                </c:pt>
                <c:pt idx="18">
                  <c:v>20.093023259999999</c:v>
                </c:pt>
                <c:pt idx="19">
                  <c:v>20.279069769999996</c:v>
                </c:pt>
                <c:pt idx="20">
                  <c:v>20.651162790000001</c:v>
                </c:pt>
                <c:pt idx="21">
                  <c:v>21.023255809999998</c:v>
                </c:pt>
                <c:pt idx="22">
                  <c:v>21.302325580000002</c:v>
                </c:pt>
                <c:pt idx="23">
                  <c:v>21.488372089999995</c:v>
                </c:pt>
                <c:pt idx="24">
                  <c:v>21.767441860000002</c:v>
                </c:pt>
                <c:pt idx="25">
                  <c:v>21.953488369999999</c:v>
                </c:pt>
                <c:pt idx="26">
                  <c:v>22.139534879999996</c:v>
                </c:pt>
                <c:pt idx="27">
                  <c:v>22.232558139999998</c:v>
                </c:pt>
                <c:pt idx="28">
                  <c:v>22.325581400000001</c:v>
                </c:pt>
                <c:pt idx="29">
                  <c:v>22.604651159999996</c:v>
                </c:pt>
                <c:pt idx="30">
                  <c:v>22.697674419999998</c:v>
                </c:pt>
                <c:pt idx="31">
                  <c:v>22.604651159999996</c:v>
                </c:pt>
              </c:numCache>
            </c:numRef>
          </c:yVal>
          <c:smooth val="0"/>
          <c:extLst>
            <c:ext xmlns:c16="http://schemas.microsoft.com/office/drawing/2014/chart" uri="{C3380CC4-5D6E-409C-BE32-E72D297353CC}">
              <c16:uniqueId val="{00000000-ECF9-43E3-A1F8-BEC09F552DAA}"/>
            </c:ext>
          </c:extLst>
        </c:ser>
        <c:dLbls>
          <c:showLegendKey val="0"/>
          <c:showVal val="0"/>
          <c:showCatName val="0"/>
          <c:showSerName val="0"/>
          <c:showPercent val="0"/>
          <c:showBubbleSize val="0"/>
        </c:dLbls>
        <c:axId val="1866239839"/>
        <c:axId val="1705784463"/>
      </c:scatterChart>
      <c:scatterChart>
        <c:scatterStyle val="lineMarker"/>
        <c:varyColors val="0"/>
        <c:ser>
          <c:idx val="2"/>
          <c:order val="2"/>
          <c:tx>
            <c:v>定格流量</c:v>
          </c:tx>
          <c:spPr>
            <a:ln w="19050" cap="rnd">
              <a:solidFill>
                <a:srgbClr val="FF0000"/>
              </a:solidFill>
              <a:prstDash val="sysDot"/>
              <a:round/>
            </a:ln>
            <a:effectLst/>
          </c:spPr>
          <c:marker>
            <c:symbol val="none"/>
          </c:marker>
          <c:xVal>
            <c:numRef>
              <c:f>'C3'!$BU$14:$BU$15</c:f>
              <c:numCache>
                <c:formatCode>General</c:formatCode>
                <c:ptCount val="2"/>
                <c:pt idx="0">
                  <c:v>2550</c:v>
                </c:pt>
                <c:pt idx="1">
                  <c:v>2550</c:v>
                </c:pt>
              </c:numCache>
            </c:numRef>
          </c:xVal>
          <c:yVal>
            <c:numRef>
              <c:f>'C3'!$BT$14:$BT$15</c:f>
              <c:numCache>
                <c:formatCode>General</c:formatCode>
                <c:ptCount val="2"/>
                <c:pt idx="0">
                  <c:v>0</c:v>
                </c:pt>
                <c:pt idx="1">
                  <c:v>1</c:v>
                </c:pt>
              </c:numCache>
            </c:numRef>
          </c:yVal>
          <c:smooth val="0"/>
          <c:extLst>
            <c:ext xmlns:c16="http://schemas.microsoft.com/office/drawing/2014/chart" uri="{C3380CC4-5D6E-409C-BE32-E72D297353CC}">
              <c16:uniqueId val="{00000000-8836-4C10-B9C1-9997E6D997DC}"/>
            </c:ext>
          </c:extLst>
        </c:ser>
        <c:dLbls>
          <c:showLegendKey val="0"/>
          <c:showVal val="0"/>
          <c:showCatName val="0"/>
          <c:showSerName val="0"/>
          <c:showPercent val="0"/>
          <c:showBubbleSize val="0"/>
        </c:dLbls>
        <c:axId val="234520895"/>
        <c:axId val="234508991"/>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strRef>
              <c:f>'C3'!$BJ$13</c:f>
              <c:strCache>
                <c:ptCount val="1"/>
                <c:pt idx="0">
                  <c:v>L/s</c:v>
                </c:pt>
              </c:strCache>
            </c:strRef>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strRef>
              <c:f>'C3'!$BI$13</c:f>
              <c:strCache>
                <c:ptCount val="1"/>
                <c:pt idx="0">
                  <c:v>kW</c:v>
                </c:pt>
              </c:strCache>
            </c:strRef>
          </c:tx>
          <c:layout>
            <c:manualLayout>
              <c:xMode val="edge"/>
              <c:yMode val="edge"/>
              <c:x val="2.4939783761597713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valAx>
        <c:axId val="234508991"/>
        <c:scaling>
          <c:orientation val="minMax"/>
          <c:max val="1"/>
        </c:scaling>
        <c:delete val="0"/>
        <c:axPos val="r"/>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4520895"/>
        <c:crosses val="max"/>
        <c:crossBetween val="midCat"/>
      </c:valAx>
      <c:valAx>
        <c:axId val="234520895"/>
        <c:scaling>
          <c:orientation val="minMax"/>
        </c:scaling>
        <c:delete val="1"/>
        <c:axPos val="b"/>
        <c:numFmt formatCode="General" sourceLinked="1"/>
        <c:majorTickMark val="out"/>
        <c:minorTickMark val="none"/>
        <c:tickLblPos val="nextTo"/>
        <c:crossAx val="234508991"/>
        <c:crosses val="autoZero"/>
        <c:crossBetween val="midCat"/>
      </c:valAx>
      <c:spPr>
        <a:solidFill>
          <a:schemeClr val="bg1"/>
        </a:solidFill>
        <a:ln>
          <a:noFill/>
        </a:ln>
        <a:effectLst/>
      </c:spPr>
    </c:plotArea>
    <c:legend>
      <c:legendPos val="t"/>
      <c:layout>
        <c:manualLayout>
          <c:xMode val="edge"/>
          <c:yMode val="edge"/>
          <c:x val="0.16394802501539163"/>
          <c:y val="8.23045267489712E-3"/>
          <c:w val="0.75555555555555565"/>
          <c:h val="5.5555944395839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tx>
            <c:v>計算区間</c:v>
          </c:tx>
          <c:spPr>
            <a:ln w="19050" cap="rnd">
              <a:solidFill>
                <a:schemeClr val="accent2"/>
              </a:solidFill>
              <a:round/>
            </a:ln>
            <a:effectLst/>
          </c:spPr>
          <c:marker>
            <c:symbol val="none"/>
          </c:marker>
          <c:xVal>
            <c:numRef>
              <c:f>D_1!$AU$15:$AU$1015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D_1!$AT$15:$AT$1015</c:f>
              <c:numCache>
                <c:formatCode>General</c:formatCode>
                <c:ptCount val="1001"/>
                <c:pt idx="0">
                  <c:v>-2895.7114894779465</c:v>
                </c:pt>
                <c:pt idx="1">
                  <c:v>-3006.7648016652925</c:v>
                </c:pt>
                <c:pt idx="2">
                  <c:v>-3119.0636601902747</c:v>
                </c:pt>
                <c:pt idx="3">
                  <c:v>-3231.52274447421</c:v>
                </c:pt>
                <c:pt idx="4">
                  <c:v>-3343.0182482415908</c:v>
                </c:pt>
                <c:pt idx="5">
                  <c:v>-3452.3878795200858</c:v>
                </c:pt>
                <c:pt idx="6">
                  <c:v>-3558.430860640537</c:v>
                </c:pt>
                <c:pt idx="7">
                  <c:v>-3659.9079282369653</c:v>
                </c:pt>
                <c:pt idx="8">
                  <c:v>-3755.5413332465646</c:v>
                </c:pt>
                <c:pt idx="9">
                  <c:v>-3844.0148409097069</c:v>
                </c:pt>
                <c:pt idx="10">
                  <c:v>-3923.9737307699374</c:v>
                </c:pt>
                <c:pt idx="11">
                  <c:v>-3994.0247966739748</c:v>
                </c:pt>
                <c:pt idx="12">
                  <c:v>-4052.7363467717209</c:v>
                </c:pt>
                <c:pt idx="13">
                  <c:v>-4098.638203516246</c:v>
                </c:pt>
                <c:pt idx="14">
                  <c:v>-4130.2217036637976</c:v>
                </c:pt>
                <c:pt idx="15">
                  <c:v>-4145.9396982738017</c:v>
                </c:pt>
                <c:pt idx="16">
                  <c:v>-4144.2065527088562</c:v>
                </c:pt>
                <c:pt idx="17">
                  <c:v>-4123.3981466347359</c:v>
                </c:pt>
                <c:pt idx="18">
                  <c:v>-4081.8518740203931</c:v>
                </c:pt>
                <c:pt idx="19">
                  <c:v>-4017.8666431379538</c:v>
                </c:pt>
                <c:pt idx="20">
                  <c:v>-3929.7028765627188</c:v>
                </c:pt>
                <c:pt idx="21">
                  <c:v>-3815.5825111731651</c:v>
                </c:pt>
                <c:pt idx="22">
                  <c:v>-3673.6889981509444</c:v>
                </c:pt>
                <c:pt idx="23">
                  <c:v>-3502.1673029808894</c:v>
                </c:pt>
                <c:pt idx="24">
                  <c:v>-3299.1239054510011</c:v>
                </c:pt>
                <c:pt idx="25">
                  <c:v>-3062.6267996524625</c:v>
                </c:pt>
                <c:pt idx="26">
                  <c:v>-2790.7054939796221</c:v>
                </c:pt>
                <c:pt idx="27">
                  <c:v>-2481.3510111300207</c:v>
                </c:pt>
                <c:pt idx="28">
                  <c:v>-2132.5158881043558</c:v>
                </c:pt>
                <c:pt idx="29">
                  <c:v>-1742.1141762065095</c:v>
                </c:pt>
                <c:pt idx="30">
                  <c:v>-1308.021441043546</c:v>
                </c:pt>
                <c:pt idx="31">
                  <c:v>-828.07476252569768</c:v>
                </c:pt>
                <c:pt idx="32">
                  <c:v>-300.07273486636086</c:v>
                </c:pt>
                <c:pt idx="33">
                  <c:v>278.22453341786013</c:v>
                </c:pt>
                <c:pt idx="34">
                  <c:v>909.09541950722041</c:v>
                </c:pt>
                <c:pt idx="35">
                  <c:v>1594.8567862787781</c:v>
                </c:pt>
                <c:pt idx="36">
                  <c:v>2337.8639823064273</c:v>
                </c:pt>
                <c:pt idx="37">
                  <c:v>3140.5108418608684</c:v>
                </c:pt>
                <c:pt idx="38">
                  <c:v>4005.2296849096542</c:v>
                </c:pt>
                <c:pt idx="39">
                  <c:v>4934.4913171171465</c:v>
                </c:pt>
                <c:pt idx="40">
                  <c:v>5930.8050298445232</c:v>
                </c:pt>
                <c:pt idx="41">
                  <c:v>6996.7186001497994</c:v>
                </c:pt>
                <c:pt idx="42">
                  <c:v>8134.8182907877908</c:v>
                </c:pt>
                <c:pt idx="43">
                  <c:v>9347.7288502102056</c:v>
                </c:pt>
                <c:pt idx="44">
                  <c:v>10638.113512565484</c:v>
                </c:pt>
                <c:pt idx="45">
                  <c:v>12008.673997698937</c:v>
                </c:pt>
                <c:pt idx="46">
                  <c:v>13462.150511152746</c:v>
                </c:pt>
                <c:pt idx="47">
                  <c:v>15001.321744165831</c:v>
                </c:pt>
                <c:pt idx="48">
                  <c:v>16629.004873673952</c:v>
                </c:pt>
                <c:pt idx="49">
                  <c:v>18348.055562309732</c:v>
                </c:pt>
                <c:pt idx="50">
                  <c:v>20161.367958402625</c:v>
                </c:pt>
                <c:pt idx="51">
                  <c:v>22071.874695978888</c:v>
                </c:pt>
                <c:pt idx="52">
                  <c:v>24082.546894761555</c:v>
                </c:pt>
                <c:pt idx="53">
                  <c:v>26196.394160170548</c:v>
                </c:pt>
                <c:pt idx="54">
                  <c:v>28416.46458332265</c:v>
                </c:pt>
                <c:pt idx="55">
                  <c:v>30745.844741031335</c:v>
                </c:pt>
                <c:pt idx="56">
                  <c:v>33187.659695807008</c:v>
                </c:pt>
                <c:pt idx="57">
                  <c:v>35745.072995856906</c:v>
                </c:pt>
                <c:pt idx="58">
                  <c:v>38421.28667508503</c:v>
                </c:pt>
                <c:pt idx="59">
                  <c:v>41219.541253092197</c:v>
                </c:pt>
                <c:pt idx="60">
                  <c:v>44143.115735176121</c:v>
                </c:pt>
                <c:pt idx="61">
                  <c:v>47195.327612331319</c:v>
                </c:pt>
                <c:pt idx="62">
                  <c:v>50379.532861249041</c:v>
                </c:pt>
                <c:pt idx="63">
                  <c:v>53699.125944317486</c:v>
                </c:pt>
                <c:pt idx="64">
                  <c:v>57157.539809621689</c:v>
                </c:pt>
                <c:pt idx="65">
                  <c:v>60758.24589094337</c:v>
                </c:pt>
                <c:pt idx="66">
                  <c:v>64504.754107761088</c:v>
                </c:pt>
                <c:pt idx="67">
                  <c:v>68400.612865250412</c:v>
                </c:pt>
                <c:pt idx="68">
                  <c:v>72449.409054283591</c:v>
                </c:pt>
                <c:pt idx="69">
                  <c:v>76654.768051429652</c:v>
                </c:pt>
                <c:pt idx="70">
                  <c:v>81020.35371895459</c:v>
                </c:pt>
                <c:pt idx="71">
                  <c:v>85549.868404821056</c:v>
                </c:pt>
                <c:pt idx="72">
                  <c:v>90247.052942688766</c:v>
                </c:pt>
                <c:pt idx="73">
                  <c:v>95115.686651913915</c:v>
                </c:pt>
                <c:pt idx="74">
                  <c:v>100159.58733754983</c:v>
                </c:pt>
                <c:pt idx="75">
                  <c:v>105382.61129034666</c:v>
                </c:pt>
                <c:pt idx="76">
                  <c:v>110788.65328675105</c:v>
                </c:pt>
                <c:pt idx="77">
                  <c:v>116381.64658890691</c:v>
                </c:pt>
                <c:pt idx="78">
                  <c:v>122165.56294465455</c:v>
                </c:pt>
                <c:pt idx="79">
                  <c:v>128144.41258753145</c:v>
                </c:pt>
                <c:pt idx="80">
                  <c:v>134322.24423677169</c:v>
                </c:pt>
                <c:pt idx="81">
                  <c:v>140703.14509730626</c:v>
                </c:pt>
                <c:pt idx="82">
                  <c:v>147291.24085976314</c:v>
                </c:pt>
                <c:pt idx="83">
                  <c:v>154090.69570046672</c:v>
                </c:pt>
                <c:pt idx="84">
                  <c:v>161105.71228143864</c:v>
                </c:pt>
                <c:pt idx="85">
                  <c:v>168340.53175039709</c:v>
                </c:pt>
                <c:pt idx="86">
                  <c:v>175799.43374075729</c:v>
                </c:pt>
                <c:pt idx="87">
                  <c:v>183486.73637163089</c:v>
                </c:pt>
                <c:pt idx="88">
                  <c:v>191406.79624782692</c:v>
                </c:pt>
                <c:pt idx="89">
                  <c:v>199564.00845985112</c:v>
                </c:pt>
                <c:pt idx="90">
                  <c:v>207962.80658390536</c:v>
                </c:pt>
                <c:pt idx="91">
                  <c:v>216607.66268188946</c:v>
                </c:pt>
                <c:pt idx="92">
                  <c:v>225503.08730139903</c:v>
                </c:pt>
                <c:pt idx="93">
                  <c:v>234653.62947572724</c:v>
                </c:pt>
                <c:pt idx="94">
                  <c:v>244063.87672386356</c:v>
                </c:pt>
                <c:pt idx="95">
                  <c:v>253738.45505049481</c:v>
                </c:pt>
                <c:pt idx="96">
                  <c:v>263682.02894600399</c:v>
                </c:pt>
                <c:pt idx="97">
                  <c:v>273899.30138647143</c:v>
                </c:pt>
                <c:pt idx="98">
                  <c:v>284395.01383367437</c:v>
                </c:pt>
                <c:pt idx="99">
                  <c:v>295173.94623508619</c:v>
                </c:pt>
                <c:pt idx="100">
                  <c:v>306240.91702387808</c:v>
                </c:pt>
              </c:numCache>
            </c:numRef>
          </c:yVal>
          <c:smooth val="1"/>
          <c:extLst>
            <c:ext xmlns:c16="http://schemas.microsoft.com/office/drawing/2014/chart" uri="{C3380CC4-5D6E-409C-BE32-E72D297353CC}">
              <c16:uniqueId val="{00000001-D12A-4567-BD19-D94830FCB9B6}"/>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外挿区間</c:v>
          </c:tx>
          <c:spPr>
            <a:ln w="12700" cap="rnd">
              <a:solidFill>
                <a:schemeClr val="accent1"/>
              </a:solidFill>
              <a:prstDash val="sysDash"/>
              <a:round/>
            </a:ln>
            <a:effectLst/>
          </c:spPr>
          <c:marker>
            <c:symbol val="none"/>
          </c:marker>
          <c:xVal>
            <c:numRef>
              <c:f>D_1!$AR$15:$AR$1015</c:f>
              <c:numCache>
                <c:formatCode>General</c:formatCode>
                <c:ptCount val="1001"/>
                <c:pt idx="0">
                  <c:v>-6</c:v>
                </c:pt>
                <c:pt idx="1">
                  <c:v>-5.52</c:v>
                </c:pt>
                <c:pt idx="2">
                  <c:v>-5.04</c:v>
                </c:pt>
                <c:pt idx="3">
                  <c:v>-4.5600000000000005</c:v>
                </c:pt>
                <c:pt idx="4">
                  <c:v>-4.08</c:v>
                </c:pt>
                <c:pt idx="5">
                  <c:v>-3.5999999999999996</c:v>
                </c:pt>
                <c:pt idx="6">
                  <c:v>-3.120000000000001</c:v>
                </c:pt>
                <c:pt idx="7">
                  <c:v>-2.6400000000000006</c:v>
                </c:pt>
                <c:pt idx="8">
                  <c:v>-2.16</c:v>
                </c:pt>
                <c:pt idx="9">
                  <c:v>-1.6799999999999997</c:v>
                </c:pt>
                <c:pt idx="10">
                  <c:v>-1.1999999999999993</c:v>
                </c:pt>
                <c:pt idx="11">
                  <c:v>-0.72000000000000064</c:v>
                </c:pt>
                <c:pt idx="12">
                  <c:v>-0.24000000000000021</c:v>
                </c:pt>
                <c:pt idx="13">
                  <c:v>0.24000000000000021</c:v>
                </c:pt>
                <c:pt idx="14">
                  <c:v>0.71999999999999886</c:v>
                </c:pt>
                <c:pt idx="15">
                  <c:v>1.1999999999999993</c:v>
                </c:pt>
                <c:pt idx="16">
                  <c:v>1.6799999999999997</c:v>
                </c:pt>
                <c:pt idx="17">
                  <c:v>2.16</c:v>
                </c:pt>
                <c:pt idx="18">
                  <c:v>2.6400000000000006</c:v>
                </c:pt>
                <c:pt idx="19">
                  <c:v>3.1199999999999992</c:v>
                </c:pt>
                <c:pt idx="20">
                  <c:v>3.5999999999999996</c:v>
                </c:pt>
                <c:pt idx="21">
                  <c:v>4.0799999999999983</c:v>
                </c:pt>
                <c:pt idx="22">
                  <c:v>4.5599999999999987</c:v>
                </c:pt>
                <c:pt idx="23">
                  <c:v>5.0399999999999991</c:v>
                </c:pt>
                <c:pt idx="24">
                  <c:v>5.52</c:v>
                </c:pt>
                <c:pt idx="25">
                  <c:v>6</c:v>
                </c:pt>
                <c:pt idx="26">
                  <c:v>6.48</c:v>
                </c:pt>
                <c:pt idx="27">
                  <c:v>6.9600000000000009</c:v>
                </c:pt>
                <c:pt idx="28">
                  <c:v>7.4399999999999977</c:v>
                </c:pt>
                <c:pt idx="29">
                  <c:v>7.9200000000000017</c:v>
                </c:pt>
                <c:pt idx="30">
                  <c:v>8.3999999999999986</c:v>
                </c:pt>
                <c:pt idx="31">
                  <c:v>8.879999999999999</c:v>
                </c:pt>
                <c:pt idx="32">
                  <c:v>9.36</c:v>
                </c:pt>
                <c:pt idx="33">
                  <c:v>9.84</c:v>
                </c:pt>
                <c:pt idx="34">
                  <c:v>10.32</c:v>
                </c:pt>
                <c:pt idx="35">
                  <c:v>10.8</c:v>
                </c:pt>
                <c:pt idx="36">
                  <c:v>11.280000000000001</c:v>
                </c:pt>
                <c:pt idx="37">
                  <c:v>11.759999999999998</c:v>
                </c:pt>
                <c:pt idx="38">
                  <c:v>12.239999999999998</c:v>
                </c:pt>
                <c:pt idx="39">
                  <c:v>12.719999999999999</c:v>
                </c:pt>
                <c:pt idx="40">
                  <c:v>13.2</c:v>
                </c:pt>
                <c:pt idx="41">
                  <c:v>13.68</c:v>
                </c:pt>
                <c:pt idx="42">
                  <c:v>14.16</c:v>
                </c:pt>
                <c:pt idx="43">
                  <c:v>14.64</c:v>
                </c:pt>
                <c:pt idx="44">
                  <c:v>15.119999999999997</c:v>
                </c:pt>
                <c:pt idx="45">
                  <c:v>15.599999999999998</c:v>
                </c:pt>
                <c:pt idx="46">
                  <c:v>16.079999999999998</c:v>
                </c:pt>
                <c:pt idx="47">
                  <c:v>16.559999999999999</c:v>
                </c:pt>
                <c:pt idx="48">
                  <c:v>17.04</c:v>
                </c:pt>
                <c:pt idx="49">
                  <c:v>17.52</c:v>
                </c:pt>
                <c:pt idx="50">
                  <c:v>18</c:v>
                </c:pt>
                <c:pt idx="51">
                  <c:v>18.48</c:v>
                </c:pt>
                <c:pt idx="52">
                  <c:v>18.96</c:v>
                </c:pt>
                <c:pt idx="53">
                  <c:v>19.439999999999998</c:v>
                </c:pt>
                <c:pt idx="54">
                  <c:v>19.919999999999998</c:v>
                </c:pt>
                <c:pt idx="55">
                  <c:v>20.399999999999999</c:v>
                </c:pt>
                <c:pt idx="56">
                  <c:v>20.879999999999995</c:v>
                </c:pt>
                <c:pt idx="57">
                  <c:v>21.36</c:v>
                </c:pt>
                <c:pt idx="58">
                  <c:v>21.840000000000003</c:v>
                </c:pt>
                <c:pt idx="59">
                  <c:v>22.32</c:v>
                </c:pt>
                <c:pt idx="60">
                  <c:v>22.799999999999997</c:v>
                </c:pt>
                <c:pt idx="61">
                  <c:v>23.28</c:v>
                </c:pt>
                <c:pt idx="62">
                  <c:v>23.759999999999998</c:v>
                </c:pt>
                <c:pt idx="63">
                  <c:v>24.239999999999995</c:v>
                </c:pt>
                <c:pt idx="64">
                  <c:v>24.72</c:v>
                </c:pt>
                <c:pt idx="65">
                  <c:v>25.200000000000003</c:v>
                </c:pt>
                <c:pt idx="66">
                  <c:v>25.68</c:v>
                </c:pt>
                <c:pt idx="67">
                  <c:v>26.159999999999997</c:v>
                </c:pt>
                <c:pt idx="68">
                  <c:v>26.64</c:v>
                </c:pt>
                <c:pt idx="69">
                  <c:v>27.119999999999997</c:v>
                </c:pt>
                <c:pt idx="70">
                  <c:v>27.6</c:v>
                </c:pt>
                <c:pt idx="71">
                  <c:v>28.08</c:v>
                </c:pt>
                <c:pt idx="72">
                  <c:v>28.560000000000002</c:v>
                </c:pt>
                <c:pt idx="73">
                  <c:v>29.04</c:v>
                </c:pt>
                <c:pt idx="74">
                  <c:v>29.519999999999996</c:v>
                </c:pt>
                <c:pt idx="75">
                  <c:v>30</c:v>
                </c:pt>
                <c:pt idx="76">
                  <c:v>30.479999999999997</c:v>
                </c:pt>
                <c:pt idx="77">
                  <c:v>30.96</c:v>
                </c:pt>
                <c:pt idx="78">
                  <c:v>31.439999999999998</c:v>
                </c:pt>
                <c:pt idx="79">
                  <c:v>31.92</c:v>
                </c:pt>
                <c:pt idx="80">
                  <c:v>32.4</c:v>
                </c:pt>
                <c:pt idx="81">
                  <c:v>32.879999999999995</c:v>
                </c:pt>
                <c:pt idx="82">
                  <c:v>33.36</c:v>
                </c:pt>
                <c:pt idx="83">
                  <c:v>33.839999999999996</c:v>
                </c:pt>
                <c:pt idx="84">
                  <c:v>34.32</c:v>
                </c:pt>
                <c:pt idx="85">
                  <c:v>34.799999999999997</c:v>
                </c:pt>
                <c:pt idx="86">
                  <c:v>35.28</c:v>
                </c:pt>
                <c:pt idx="87">
                  <c:v>35.76</c:v>
                </c:pt>
                <c:pt idx="88">
                  <c:v>36.239999999999995</c:v>
                </c:pt>
                <c:pt idx="89">
                  <c:v>36.72</c:v>
                </c:pt>
                <c:pt idx="90">
                  <c:v>37.199999999999996</c:v>
                </c:pt>
                <c:pt idx="91">
                  <c:v>37.68</c:v>
                </c:pt>
                <c:pt idx="92">
                  <c:v>38.159999999999997</c:v>
                </c:pt>
                <c:pt idx="93">
                  <c:v>38.64</c:v>
                </c:pt>
                <c:pt idx="94">
                  <c:v>39.119999999999997</c:v>
                </c:pt>
                <c:pt idx="95">
                  <c:v>39.6</c:v>
                </c:pt>
                <c:pt idx="96">
                  <c:v>40.08</c:v>
                </c:pt>
                <c:pt idx="97">
                  <c:v>40.559999999999995</c:v>
                </c:pt>
                <c:pt idx="98">
                  <c:v>41.04</c:v>
                </c:pt>
                <c:pt idx="99">
                  <c:v>41.519999999999996</c:v>
                </c:pt>
                <c:pt idx="100">
                  <c:v>42</c:v>
                </c:pt>
              </c:numCache>
            </c:numRef>
          </c:xVal>
          <c:yVal>
            <c:numRef>
              <c:f>D_1!$AQ$15:$AQ$1015</c:f>
              <c:numCache>
                <c:formatCode>General</c:formatCode>
                <c:ptCount val="1001"/>
                <c:pt idx="0">
                  <c:v>-11647.128076881776</c:v>
                </c:pt>
                <c:pt idx="1">
                  <c:v>-10684.622703311046</c:v>
                </c:pt>
                <c:pt idx="2">
                  <c:v>-9751.2039483762601</c:v>
                </c:pt>
                <c:pt idx="3">
                  <c:v>-8853.1216978158282</c:v>
                </c:pt>
                <c:pt idx="4">
                  <c:v>-7996.010066218967</c:v>
                </c:pt>
                <c:pt idx="5">
                  <c:v>-7184.88739702571</c:v>
                </c:pt>
                <c:pt idx="6">
                  <c:v>-6424.156262526898</c:v>
                </c:pt>
                <c:pt idx="7">
                  <c:v>-5717.6034638641695</c:v>
                </c:pt>
                <c:pt idx="8">
                  <c:v>-5068.4000310299871</c:v>
                </c:pt>
                <c:pt idx="9">
                  <c:v>-4479.1012228676163</c:v>
                </c:pt>
                <c:pt idx="10">
                  <c:v>-3951.6465270711319</c:v>
                </c:pt>
                <c:pt idx="11">
                  <c:v>-3487.359660185421</c:v>
                </c:pt>
                <c:pt idx="12">
                  <c:v>-3086.948567606174</c:v>
                </c:pt>
                <c:pt idx="13">
                  <c:v>-2750.5054235798953</c:v>
                </c:pt>
                <c:pt idx="14">
                  <c:v>-2477.5066312038989</c:v>
                </c:pt>
                <c:pt idx="15">
                  <c:v>-2266.8128224263046</c:v>
                </c:pt>
                <c:pt idx="16">
                  <c:v>-2116.6688580460441</c:v>
                </c:pt>
                <c:pt idx="17">
                  <c:v>-2024.7038277128581</c:v>
                </c:pt>
                <c:pt idx="18">
                  <c:v>-1987.9310499272965</c:v>
                </c:pt>
                <c:pt idx="19">
                  <c:v>-2002.748072040717</c:v>
                </c:pt>
                <c:pt idx="20">
                  <c:v>-2064.9366702552888</c:v>
                </c:pt>
                <c:pt idx="21">
                  <c:v>-2169.6628496239887</c:v>
                </c:pt>
                <c:pt idx="22">
                  <c:v>-2311.4768440506032</c:v>
                </c:pt>
                <c:pt idx="23">
                  <c:v>-2484.3131162897298</c:v>
                </c:pt>
                <c:pt idx="24">
                  <c:v>-2681.4903579467723</c:v>
                </c:pt>
                <c:pt idx="25">
                  <c:v>-2895.7114894779465</c:v>
                </c:pt>
                <c:pt idx="26">
                  <c:v>-3119.0636601902747</c:v>
                </c:pt>
                <c:pt idx="27">
                  <c:v>-3343.0182482415917</c:v>
                </c:pt>
                <c:pt idx="28">
                  <c:v>-3558.4308606405361</c:v>
                </c:pt>
                <c:pt idx="29">
                  <c:v>-3755.5413332465673</c:v>
                </c:pt>
                <c:pt idx="30">
                  <c:v>-3923.9737307699365</c:v>
                </c:pt>
                <c:pt idx="31">
                  <c:v>-4052.7363467717209</c:v>
                </c:pt>
                <c:pt idx="32">
                  <c:v>-4130.2217036637976</c:v>
                </c:pt>
                <c:pt idx="33">
                  <c:v>-4144.2065527088562</c:v>
                </c:pt>
                <c:pt idx="34">
                  <c:v>-4081.8518740203931</c:v>
                </c:pt>
                <c:pt idx="35">
                  <c:v>-3929.7028765627188</c:v>
                </c:pt>
                <c:pt idx="36">
                  <c:v>-3673.6889981509444</c:v>
                </c:pt>
                <c:pt idx="37">
                  <c:v>-3299.1239054510047</c:v>
                </c:pt>
                <c:pt idx="38">
                  <c:v>-2790.7054939796276</c:v>
                </c:pt>
                <c:pt idx="39">
                  <c:v>-2132.5158881043558</c:v>
                </c:pt>
                <c:pt idx="40">
                  <c:v>-1308.021441043546</c:v>
                </c:pt>
                <c:pt idx="41">
                  <c:v>-300.07273486636086</c:v>
                </c:pt>
                <c:pt idx="42">
                  <c:v>909.09541950722041</c:v>
                </c:pt>
                <c:pt idx="43">
                  <c:v>2337.8639823064273</c:v>
                </c:pt>
                <c:pt idx="44">
                  <c:v>4005.2296849096488</c:v>
                </c:pt>
                <c:pt idx="45">
                  <c:v>5930.8050298445123</c:v>
                </c:pt>
                <c:pt idx="46">
                  <c:v>8134.8182907877908</c:v>
                </c:pt>
                <c:pt idx="47">
                  <c:v>10638.113512565484</c:v>
                </c:pt>
                <c:pt idx="48">
                  <c:v>13462.150511152746</c:v>
                </c:pt>
                <c:pt idx="49">
                  <c:v>16629.004873673952</c:v>
                </c:pt>
                <c:pt idx="50">
                  <c:v>20161.367958402625</c:v>
                </c:pt>
                <c:pt idx="51">
                  <c:v>24082.546894761555</c:v>
                </c:pt>
                <c:pt idx="52">
                  <c:v>28416.46458332265</c:v>
                </c:pt>
                <c:pt idx="53">
                  <c:v>33187.659695807008</c:v>
                </c:pt>
                <c:pt idx="54">
                  <c:v>38421.286675085001</c:v>
                </c:pt>
                <c:pt idx="55">
                  <c:v>44143.115735176121</c:v>
                </c:pt>
                <c:pt idx="56">
                  <c:v>50379.532861249005</c:v>
                </c:pt>
                <c:pt idx="57">
                  <c:v>57157.539809621689</c:v>
                </c:pt>
                <c:pt idx="58">
                  <c:v>64504.75410776116</c:v>
                </c:pt>
                <c:pt idx="59">
                  <c:v>72449.409054283591</c:v>
                </c:pt>
                <c:pt idx="60">
                  <c:v>81020.353718954531</c:v>
                </c:pt>
                <c:pt idx="61">
                  <c:v>90247.052942688766</c:v>
                </c:pt>
                <c:pt idx="62">
                  <c:v>100159.58733754983</c:v>
                </c:pt>
                <c:pt idx="63">
                  <c:v>110788.65328675097</c:v>
                </c:pt>
                <c:pt idx="64">
                  <c:v>122165.56294465455</c:v>
                </c:pt>
                <c:pt idx="65">
                  <c:v>134322.2442367718</c:v>
                </c:pt>
                <c:pt idx="66">
                  <c:v>147291.24085976314</c:v>
                </c:pt>
                <c:pt idx="67">
                  <c:v>161105.71228143858</c:v>
                </c:pt>
                <c:pt idx="68">
                  <c:v>175799.43374075729</c:v>
                </c:pt>
                <c:pt idx="69">
                  <c:v>191406.79624782692</c:v>
                </c:pt>
                <c:pt idx="70">
                  <c:v>207962.80658390551</c:v>
                </c:pt>
                <c:pt idx="71">
                  <c:v>225503.08730139903</c:v>
                </c:pt>
                <c:pt idx="72">
                  <c:v>244063.87672386362</c:v>
                </c:pt>
                <c:pt idx="73">
                  <c:v>263682.02894600399</c:v>
                </c:pt>
                <c:pt idx="74">
                  <c:v>284395.01383367408</c:v>
                </c:pt>
                <c:pt idx="75">
                  <c:v>306240.91702387808</c:v>
                </c:pt>
                <c:pt idx="76">
                  <c:v>329258.43992476736</c:v>
                </c:pt>
                <c:pt idx="77">
                  <c:v>353486.89971564454</c:v>
                </c:pt>
                <c:pt idx="78">
                  <c:v>378966.22934695985</c:v>
                </c:pt>
                <c:pt idx="79">
                  <c:v>405736.97754031402</c:v>
                </c:pt>
                <c:pt idx="80">
                  <c:v>433840.30878845556</c:v>
                </c:pt>
                <c:pt idx="81">
                  <c:v>463318.00335528335</c:v>
                </c:pt>
                <c:pt idx="82">
                  <c:v>494212.45727584546</c:v>
                </c:pt>
                <c:pt idx="83">
                  <c:v>526566.68235633813</c:v>
                </c:pt>
                <c:pt idx="84">
                  <c:v>560424.30617410771</c:v>
                </c:pt>
                <c:pt idx="85">
                  <c:v>595829.57207764871</c:v>
                </c:pt>
                <c:pt idx="86">
                  <c:v>632827.33918660705</c:v>
                </c:pt>
                <c:pt idx="87">
                  <c:v>671463.08239177475</c:v>
                </c:pt>
                <c:pt idx="88">
                  <c:v>711782.89235509536</c:v>
                </c:pt>
                <c:pt idx="89">
                  <c:v>753833.47550966113</c:v>
                </c:pt>
                <c:pt idx="90">
                  <c:v>797662.15405971278</c:v>
                </c:pt>
                <c:pt idx="91">
                  <c:v>843316.8659806411</c:v>
                </c:pt>
                <c:pt idx="92">
                  <c:v>890846.16501898482</c:v>
                </c:pt>
                <c:pt idx="93">
                  <c:v>940299.22069243377</c:v>
                </c:pt>
                <c:pt idx="94">
                  <c:v>991725.81828982476</c:v>
                </c:pt>
                <c:pt idx="95">
                  <c:v>1045176.3588711463</c:v>
                </c:pt>
                <c:pt idx="96">
                  <c:v>1100701.8592675331</c:v>
                </c:pt>
                <c:pt idx="97">
                  <c:v>1158353.9520812719</c:v>
                </c:pt>
                <c:pt idx="98">
                  <c:v>1218184.8856857975</c:v>
                </c:pt>
                <c:pt idx="99">
                  <c:v>1280247.5242256927</c:v>
                </c:pt>
                <c:pt idx="100">
                  <c:v>1344595.3476166921</c:v>
                </c:pt>
              </c:numCache>
            </c:numRef>
          </c:yVal>
          <c:smooth val="1"/>
          <c:extLst>
            <c:ext xmlns:c16="http://schemas.microsoft.com/office/drawing/2014/chart" uri="{C3380CC4-5D6E-409C-BE32-E72D297353CC}">
              <c16:uniqueId val="{00000000-D12A-4567-BD19-D94830FCB9B6}"/>
            </c:ext>
          </c:extLst>
        </c:ser>
        <c:ser>
          <c:idx val="1"/>
          <c:order val="1"/>
          <c:tx>
            <c:v>計算区間</c:v>
          </c:tx>
          <c:spPr>
            <a:ln w="19050" cap="rnd">
              <a:solidFill>
                <a:schemeClr val="accent2"/>
              </a:solidFill>
              <a:round/>
            </a:ln>
            <a:effectLst/>
          </c:spPr>
          <c:marker>
            <c:symbol val="none"/>
          </c:marker>
          <c:xVal>
            <c:numRef>
              <c:f>D_1!$AU$15:$AU$1015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D_1!$AT$15:$AT$1015</c:f>
              <c:numCache>
                <c:formatCode>General</c:formatCode>
                <c:ptCount val="1001"/>
                <c:pt idx="0">
                  <c:v>-2895.7114894779465</c:v>
                </c:pt>
                <c:pt idx="1">
                  <c:v>-3006.7648016652925</c:v>
                </c:pt>
                <c:pt idx="2">
                  <c:v>-3119.0636601902747</c:v>
                </c:pt>
                <c:pt idx="3">
                  <c:v>-3231.52274447421</c:v>
                </c:pt>
                <c:pt idx="4">
                  <c:v>-3343.0182482415908</c:v>
                </c:pt>
                <c:pt idx="5">
                  <c:v>-3452.3878795200858</c:v>
                </c:pt>
                <c:pt idx="6">
                  <c:v>-3558.430860640537</c:v>
                </c:pt>
                <c:pt idx="7">
                  <c:v>-3659.9079282369653</c:v>
                </c:pt>
                <c:pt idx="8">
                  <c:v>-3755.5413332465646</c:v>
                </c:pt>
                <c:pt idx="9">
                  <c:v>-3844.0148409097069</c:v>
                </c:pt>
                <c:pt idx="10">
                  <c:v>-3923.9737307699374</c:v>
                </c:pt>
                <c:pt idx="11">
                  <c:v>-3994.0247966739748</c:v>
                </c:pt>
                <c:pt idx="12">
                  <c:v>-4052.7363467717209</c:v>
                </c:pt>
                <c:pt idx="13">
                  <c:v>-4098.638203516246</c:v>
                </c:pt>
                <c:pt idx="14">
                  <c:v>-4130.2217036637976</c:v>
                </c:pt>
                <c:pt idx="15">
                  <c:v>-4145.9396982738017</c:v>
                </c:pt>
                <c:pt idx="16">
                  <c:v>-4144.2065527088562</c:v>
                </c:pt>
                <c:pt idx="17">
                  <c:v>-4123.3981466347359</c:v>
                </c:pt>
                <c:pt idx="18">
                  <c:v>-4081.8518740203931</c:v>
                </c:pt>
                <c:pt idx="19">
                  <c:v>-4017.8666431379538</c:v>
                </c:pt>
                <c:pt idx="20">
                  <c:v>-3929.7028765627188</c:v>
                </c:pt>
                <c:pt idx="21">
                  <c:v>-3815.5825111731651</c:v>
                </c:pt>
                <c:pt idx="22">
                  <c:v>-3673.6889981509444</c:v>
                </c:pt>
                <c:pt idx="23">
                  <c:v>-3502.1673029808894</c:v>
                </c:pt>
                <c:pt idx="24">
                  <c:v>-3299.1239054510011</c:v>
                </c:pt>
                <c:pt idx="25">
                  <c:v>-3062.6267996524625</c:v>
                </c:pt>
                <c:pt idx="26">
                  <c:v>-2790.7054939796221</c:v>
                </c:pt>
                <c:pt idx="27">
                  <c:v>-2481.3510111300207</c:v>
                </c:pt>
                <c:pt idx="28">
                  <c:v>-2132.5158881043558</c:v>
                </c:pt>
                <c:pt idx="29">
                  <c:v>-1742.1141762065095</c:v>
                </c:pt>
                <c:pt idx="30">
                  <c:v>-1308.021441043546</c:v>
                </c:pt>
                <c:pt idx="31">
                  <c:v>-828.07476252569768</c:v>
                </c:pt>
                <c:pt idx="32">
                  <c:v>-300.07273486636086</c:v>
                </c:pt>
                <c:pt idx="33">
                  <c:v>278.22453341786013</c:v>
                </c:pt>
                <c:pt idx="34">
                  <c:v>909.09541950722041</c:v>
                </c:pt>
                <c:pt idx="35">
                  <c:v>1594.8567862787781</c:v>
                </c:pt>
                <c:pt idx="36">
                  <c:v>2337.8639823064273</c:v>
                </c:pt>
                <c:pt idx="37">
                  <c:v>3140.5108418608684</c:v>
                </c:pt>
                <c:pt idx="38">
                  <c:v>4005.2296849096542</c:v>
                </c:pt>
                <c:pt idx="39">
                  <c:v>4934.4913171171465</c:v>
                </c:pt>
                <c:pt idx="40">
                  <c:v>5930.8050298445232</c:v>
                </c:pt>
                <c:pt idx="41">
                  <c:v>6996.7186001497994</c:v>
                </c:pt>
                <c:pt idx="42">
                  <c:v>8134.8182907877908</c:v>
                </c:pt>
                <c:pt idx="43">
                  <c:v>9347.7288502102056</c:v>
                </c:pt>
                <c:pt idx="44">
                  <c:v>10638.113512565484</c:v>
                </c:pt>
                <c:pt idx="45">
                  <c:v>12008.673997698937</c:v>
                </c:pt>
                <c:pt idx="46">
                  <c:v>13462.150511152746</c:v>
                </c:pt>
                <c:pt idx="47">
                  <c:v>15001.321744165831</c:v>
                </c:pt>
                <c:pt idx="48">
                  <c:v>16629.004873673952</c:v>
                </c:pt>
                <c:pt idx="49">
                  <c:v>18348.055562309732</c:v>
                </c:pt>
                <c:pt idx="50">
                  <c:v>20161.367958402625</c:v>
                </c:pt>
                <c:pt idx="51">
                  <c:v>22071.874695978888</c:v>
                </c:pt>
                <c:pt idx="52">
                  <c:v>24082.546894761555</c:v>
                </c:pt>
                <c:pt idx="53">
                  <c:v>26196.394160170548</c:v>
                </c:pt>
                <c:pt idx="54">
                  <c:v>28416.46458332265</c:v>
                </c:pt>
                <c:pt idx="55">
                  <c:v>30745.844741031335</c:v>
                </c:pt>
                <c:pt idx="56">
                  <c:v>33187.659695807008</c:v>
                </c:pt>
                <c:pt idx="57">
                  <c:v>35745.072995856906</c:v>
                </c:pt>
                <c:pt idx="58">
                  <c:v>38421.28667508503</c:v>
                </c:pt>
                <c:pt idx="59">
                  <c:v>41219.541253092197</c:v>
                </c:pt>
                <c:pt idx="60">
                  <c:v>44143.115735176121</c:v>
                </c:pt>
                <c:pt idx="61">
                  <c:v>47195.327612331319</c:v>
                </c:pt>
                <c:pt idx="62">
                  <c:v>50379.532861249041</c:v>
                </c:pt>
                <c:pt idx="63">
                  <c:v>53699.125944317486</c:v>
                </c:pt>
                <c:pt idx="64">
                  <c:v>57157.539809621689</c:v>
                </c:pt>
                <c:pt idx="65">
                  <c:v>60758.24589094337</c:v>
                </c:pt>
                <c:pt idx="66">
                  <c:v>64504.754107761088</c:v>
                </c:pt>
                <c:pt idx="67">
                  <c:v>68400.612865250412</c:v>
                </c:pt>
                <c:pt idx="68">
                  <c:v>72449.409054283591</c:v>
                </c:pt>
                <c:pt idx="69">
                  <c:v>76654.768051429652</c:v>
                </c:pt>
                <c:pt idx="70">
                  <c:v>81020.35371895459</c:v>
                </c:pt>
                <c:pt idx="71">
                  <c:v>85549.868404821056</c:v>
                </c:pt>
                <c:pt idx="72">
                  <c:v>90247.052942688766</c:v>
                </c:pt>
                <c:pt idx="73">
                  <c:v>95115.686651913915</c:v>
                </c:pt>
                <c:pt idx="74">
                  <c:v>100159.58733754983</c:v>
                </c:pt>
                <c:pt idx="75">
                  <c:v>105382.61129034666</c:v>
                </c:pt>
                <c:pt idx="76">
                  <c:v>110788.65328675105</c:v>
                </c:pt>
                <c:pt idx="77">
                  <c:v>116381.64658890691</c:v>
                </c:pt>
                <c:pt idx="78">
                  <c:v>122165.56294465455</c:v>
                </c:pt>
                <c:pt idx="79">
                  <c:v>128144.41258753145</c:v>
                </c:pt>
                <c:pt idx="80">
                  <c:v>134322.24423677169</c:v>
                </c:pt>
                <c:pt idx="81">
                  <c:v>140703.14509730626</c:v>
                </c:pt>
                <c:pt idx="82">
                  <c:v>147291.24085976314</c:v>
                </c:pt>
                <c:pt idx="83">
                  <c:v>154090.69570046672</c:v>
                </c:pt>
                <c:pt idx="84">
                  <c:v>161105.71228143864</c:v>
                </c:pt>
                <c:pt idx="85">
                  <c:v>168340.53175039709</c:v>
                </c:pt>
                <c:pt idx="86">
                  <c:v>175799.43374075729</c:v>
                </c:pt>
                <c:pt idx="87">
                  <c:v>183486.73637163089</c:v>
                </c:pt>
                <c:pt idx="88">
                  <c:v>191406.79624782692</c:v>
                </c:pt>
                <c:pt idx="89">
                  <c:v>199564.00845985112</c:v>
                </c:pt>
                <c:pt idx="90">
                  <c:v>207962.80658390536</c:v>
                </c:pt>
                <c:pt idx="91">
                  <c:v>216607.66268188946</c:v>
                </c:pt>
                <c:pt idx="92">
                  <c:v>225503.08730139903</c:v>
                </c:pt>
                <c:pt idx="93">
                  <c:v>234653.62947572724</c:v>
                </c:pt>
                <c:pt idx="94">
                  <c:v>244063.87672386356</c:v>
                </c:pt>
                <c:pt idx="95">
                  <c:v>253738.45505049481</c:v>
                </c:pt>
                <c:pt idx="96">
                  <c:v>263682.02894600399</c:v>
                </c:pt>
                <c:pt idx="97">
                  <c:v>273899.30138647143</c:v>
                </c:pt>
                <c:pt idx="98">
                  <c:v>284395.01383367437</c:v>
                </c:pt>
                <c:pt idx="99">
                  <c:v>295173.94623508619</c:v>
                </c:pt>
                <c:pt idx="100">
                  <c:v>306240.91702387808</c:v>
                </c:pt>
              </c:numCache>
            </c:numRef>
          </c:yVal>
          <c:smooth val="1"/>
          <c:extLst>
            <c:ext xmlns:c16="http://schemas.microsoft.com/office/drawing/2014/chart" uri="{C3380CC4-5D6E-409C-BE32-E72D297353CC}">
              <c16:uniqueId val="{00000001-D12A-4567-BD19-D94830FCB9B6}"/>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tx>
            <c:v>計算区間</c:v>
          </c:tx>
          <c:spPr>
            <a:ln w="19050" cap="rnd">
              <a:solidFill>
                <a:schemeClr val="accent2"/>
              </a:solidFill>
              <a:round/>
            </a:ln>
            <a:effectLst/>
          </c:spPr>
          <c:marker>
            <c:symbol val="none"/>
          </c:marker>
          <c:xVal>
            <c:numRef>
              <c:f>D_2!$AU$15:$AU$1015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D_2!$AT$15:$AT$1015</c:f>
              <c:numCache>
                <c:formatCode>General</c:formatCode>
                <c:ptCount val="1001"/>
                <c:pt idx="0">
                  <c:v>-25290.294935248814</c:v>
                </c:pt>
                <c:pt idx="1">
                  <c:v>-24883.188762251473</c:v>
                </c:pt>
                <c:pt idx="2">
                  <c:v>-24502.316531676319</c:v>
                </c:pt>
                <c:pt idx="3">
                  <c:v>-24146.527473331826</c:v>
                </c:pt>
                <c:pt idx="4">
                  <c:v>-23814.632331329645</c:v>
                </c:pt>
                <c:pt idx="5">
                  <c:v>-23505.403364084621</c:v>
                </c:pt>
                <c:pt idx="6">
                  <c:v>-23217.574344314758</c:v>
                </c:pt>
                <c:pt idx="7">
                  <c:v>-22949.840559041233</c:v>
                </c:pt>
                <c:pt idx="8">
                  <c:v>-22700.858809588408</c:v>
                </c:pt>
                <c:pt idx="9">
                  <c:v>-22469.247411583823</c:v>
                </c:pt>
                <c:pt idx="10">
                  <c:v>-22253.586194958185</c:v>
                </c:pt>
                <c:pt idx="11">
                  <c:v>-22052.416503945369</c:v>
                </c:pt>
                <c:pt idx="12">
                  <c:v>-21864.241197082461</c:v>
                </c:pt>
                <c:pt idx="13">
                  <c:v>-21687.524647209666</c:v>
                </c:pt>
                <c:pt idx="14">
                  <c:v>-21520.692741470419</c:v>
                </c:pt>
                <c:pt idx="15">
                  <c:v>-21362.132881311307</c:v>
                </c:pt>
                <c:pt idx="16">
                  <c:v>-21210.19398248208</c:v>
                </c:pt>
                <c:pt idx="17">
                  <c:v>-21063.186475035687</c:v>
                </c:pt>
                <c:pt idx="18">
                  <c:v>-20919.382303328242</c:v>
                </c:pt>
                <c:pt idx="19">
                  <c:v>-20777.01492601903</c:v>
                </c:pt>
                <c:pt idx="20">
                  <c:v>-20634.279316070533</c:v>
                </c:pt>
                <c:pt idx="21">
                  <c:v>-20489.331960748365</c:v>
                </c:pt>
                <c:pt idx="22">
                  <c:v>-20340.290861621375</c:v>
                </c:pt>
                <c:pt idx="23">
                  <c:v>-20185.235534561521</c:v>
                </c:pt>
                <c:pt idx="24">
                  <c:v>-20022.207009744001</c:v>
                </c:pt>
                <c:pt idx="25">
                  <c:v>-19849.207831647152</c:v>
                </c:pt>
                <c:pt idx="26">
                  <c:v>-19664.202059052477</c:v>
                </c:pt>
                <c:pt idx="27">
                  <c:v>-19465.115265044682</c:v>
                </c:pt>
                <c:pt idx="28">
                  <c:v>-19249.834537011637</c:v>
                </c:pt>
                <c:pt idx="29">
                  <c:v>-19016.20847664441</c:v>
                </c:pt>
                <c:pt idx="30">
                  <c:v>-18762.047199937173</c:v>
                </c:pt>
                <c:pt idx="31">
                  <c:v>-18485.122337187371</c:v>
                </c:pt>
                <c:pt idx="32">
                  <c:v>-18183.167032995545</c:v>
                </c:pt>
                <c:pt idx="33">
                  <c:v>-17853.875946265463</c:v>
                </c:pt>
                <c:pt idx="34">
                  <c:v>-17494.90525020405</c:v>
                </c:pt>
                <c:pt idx="35">
                  <c:v>-17103.872632321378</c:v>
                </c:pt>
                <c:pt idx="36">
                  <c:v>-16678.357294430745</c:v>
                </c:pt>
                <c:pt idx="37">
                  <c:v>-16215.899952648608</c:v>
                </c:pt>
                <c:pt idx="38">
                  <c:v>-15714.002837394575</c:v>
                </c:pt>
                <c:pt idx="39">
                  <c:v>-15170.129693391464</c:v>
                </c:pt>
                <c:pt idx="40">
                  <c:v>-14581.705779665244</c:v>
                </c:pt>
                <c:pt idx="41">
                  <c:v>-13946.117869545058</c:v>
                </c:pt>
                <c:pt idx="42">
                  <c:v>-13260.714250663266</c:v>
                </c:pt>
                <c:pt idx="43">
                  <c:v>-12522.804724955327</c:v>
                </c:pt>
                <c:pt idx="44">
                  <c:v>-11729.660608659964</c:v>
                </c:pt>
                <c:pt idx="45">
                  <c:v>-10878.51473231901</c:v>
                </c:pt>
                <c:pt idx="46">
                  <c:v>-9966.5614407774992</c:v>
                </c:pt>
                <c:pt idx="47">
                  <c:v>-8990.9565931836187</c:v>
                </c:pt>
                <c:pt idx="48">
                  <c:v>-7948.8175629887846</c:v>
                </c:pt>
                <c:pt idx="49">
                  <c:v>-6837.2232379475754</c:v>
                </c:pt>
                <c:pt idx="50">
                  <c:v>-5653.2140201176298</c:v>
                </c:pt>
                <c:pt idx="51">
                  <c:v>-4393.7918258599384</c:v>
                </c:pt>
                <c:pt idx="52">
                  <c:v>-3055.9200858385811</c:v>
                </c:pt>
                <c:pt idx="53">
                  <c:v>-1636.5237450207715</c:v>
                </c:pt>
                <c:pt idx="54">
                  <c:v>-132.48926267700881</c:v>
                </c:pt>
                <c:pt idx="55">
                  <c:v>1459.3353876191468</c:v>
                </c:pt>
                <c:pt idx="56">
                  <c:v>3142.1407179908929</c:v>
                </c:pt>
                <c:pt idx="57">
                  <c:v>4919.1557262582864</c:v>
                </c:pt>
                <c:pt idx="58">
                  <c:v>6793.6478959381711</c:v>
                </c:pt>
                <c:pt idx="59">
                  <c:v>8768.9231962441918</c:v>
                </c:pt>
                <c:pt idx="60">
                  <c:v>10848.326082086911</c:v>
                </c:pt>
                <c:pt idx="61">
                  <c:v>13035.239494073692</c:v>
                </c:pt>
                <c:pt idx="62">
                  <c:v>15333.084858508613</c:v>
                </c:pt>
                <c:pt idx="63">
                  <c:v>17745.322087392698</c:v>
                </c:pt>
                <c:pt idx="64">
                  <c:v>20275.449578423817</c:v>
                </c:pt>
                <c:pt idx="65">
                  <c:v>22927.004214996508</c:v>
                </c:pt>
                <c:pt idx="66">
                  <c:v>25703.56136620223</c:v>
                </c:pt>
                <c:pt idx="67">
                  <c:v>28608.734886829327</c:v>
                </c:pt>
                <c:pt idx="68">
                  <c:v>31646.177117362888</c:v>
                </c:pt>
                <c:pt idx="69">
                  <c:v>34819.578883984832</c:v>
                </c:pt>
                <c:pt idx="70">
                  <c:v>38132.669498573938</c:v>
                </c:pt>
                <c:pt idx="71">
                  <c:v>41589.216758705712</c:v>
                </c:pt>
                <c:pt idx="72">
                  <c:v>45193.026947652681</c:v>
                </c:pt>
                <c:pt idx="73">
                  <c:v>48947.944834383925</c:v>
                </c:pt>
                <c:pt idx="74">
                  <c:v>52857.853673565573</c:v>
                </c:pt>
                <c:pt idx="75">
                  <c:v>56926.675205560568</c:v>
                </c:pt>
                <c:pt idx="76">
                  <c:v>61158.369656428484</c:v>
                </c:pt>
                <c:pt idx="77">
                  <c:v>65556.935737926018</c:v>
                </c:pt>
                <c:pt idx="78">
                  <c:v>70126.410647506302</c:v>
                </c:pt>
                <c:pt idx="79">
                  <c:v>74870.870068319666</c:v>
                </c:pt>
                <c:pt idx="80">
                  <c:v>79794.428169213032</c:v>
                </c:pt>
                <c:pt idx="81">
                  <c:v>84901.237604730239</c:v>
                </c:pt>
                <c:pt idx="82">
                  <c:v>90195.489515112073</c:v>
                </c:pt>
                <c:pt idx="83">
                  <c:v>95681.413526295742</c:v>
                </c:pt>
                <c:pt idx="84">
                  <c:v>101363.27774991578</c:v>
                </c:pt>
                <c:pt idx="85">
                  <c:v>107245.38878330321</c:v>
                </c:pt>
                <c:pt idx="86">
                  <c:v>113332.09170948601</c:v>
                </c:pt>
                <c:pt idx="87">
                  <c:v>119627.7700971888</c:v>
                </c:pt>
                <c:pt idx="88">
                  <c:v>126136.84600083332</c:v>
                </c:pt>
                <c:pt idx="89">
                  <c:v>132863.77996053814</c:v>
                </c:pt>
                <c:pt idx="90">
                  <c:v>139813.07100211809</c:v>
                </c:pt>
                <c:pt idx="91">
                  <c:v>146989.25663708572</c:v>
                </c:pt>
                <c:pt idx="92">
                  <c:v>154396.91286264954</c:v>
                </c:pt>
                <c:pt idx="93">
                  <c:v>162040.6541617155</c:v>
                </c:pt>
                <c:pt idx="94">
                  <c:v>169925.13350288599</c:v>
                </c:pt>
                <c:pt idx="95">
                  <c:v>178055.04234046041</c:v>
                </c:pt>
                <c:pt idx="96">
                  <c:v>186435.11061443502</c:v>
                </c:pt>
                <c:pt idx="97">
                  <c:v>195070.10675050266</c:v>
                </c:pt>
                <c:pt idx="98">
                  <c:v>203964.83766005351</c:v>
                </c:pt>
                <c:pt idx="99">
                  <c:v>213124.14874017384</c:v>
                </c:pt>
                <c:pt idx="100">
                  <c:v>222552.92387364747</c:v>
                </c:pt>
              </c:numCache>
            </c:numRef>
          </c:yVal>
          <c:smooth val="1"/>
          <c:extLst>
            <c:ext xmlns:c16="http://schemas.microsoft.com/office/drawing/2014/chart" uri="{C3380CC4-5D6E-409C-BE32-E72D297353CC}">
              <c16:uniqueId val="{00000000-1CFB-4515-BA49-8FC04A366B31}"/>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外挿区間</c:v>
          </c:tx>
          <c:spPr>
            <a:ln w="12700" cap="rnd">
              <a:solidFill>
                <a:schemeClr val="accent1"/>
              </a:solidFill>
              <a:prstDash val="sysDash"/>
              <a:round/>
            </a:ln>
            <a:effectLst/>
          </c:spPr>
          <c:marker>
            <c:symbol val="none"/>
          </c:marker>
          <c:xVal>
            <c:numRef>
              <c:f>D_2!$AR$15:$AR$1015</c:f>
              <c:numCache>
                <c:formatCode>General</c:formatCode>
                <c:ptCount val="1001"/>
                <c:pt idx="0">
                  <c:v>-6</c:v>
                </c:pt>
                <c:pt idx="1">
                  <c:v>-5.52</c:v>
                </c:pt>
                <c:pt idx="2">
                  <c:v>-5.04</c:v>
                </c:pt>
                <c:pt idx="3">
                  <c:v>-4.5600000000000005</c:v>
                </c:pt>
                <c:pt idx="4">
                  <c:v>-4.08</c:v>
                </c:pt>
                <c:pt idx="5">
                  <c:v>-3.5999999999999996</c:v>
                </c:pt>
                <c:pt idx="6">
                  <c:v>-3.120000000000001</c:v>
                </c:pt>
                <c:pt idx="7">
                  <c:v>-2.6400000000000006</c:v>
                </c:pt>
                <c:pt idx="8">
                  <c:v>-2.16</c:v>
                </c:pt>
                <c:pt idx="9">
                  <c:v>-1.6799999999999997</c:v>
                </c:pt>
                <c:pt idx="10">
                  <c:v>-1.1999999999999993</c:v>
                </c:pt>
                <c:pt idx="11">
                  <c:v>-0.72000000000000064</c:v>
                </c:pt>
                <c:pt idx="12">
                  <c:v>-0.24000000000000021</c:v>
                </c:pt>
                <c:pt idx="13">
                  <c:v>0.24000000000000021</c:v>
                </c:pt>
                <c:pt idx="14">
                  <c:v>0.71999999999999886</c:v>
                </c:pt>
                <c:pt idx="15">
                  <c:v>1.1999999999999993</c:v>
                </c:pt>
                <c:pt idx="16">
                  <c:v>1.6799999999999997</c:v>
                </c:pt>
                <c:pt idx="17">
                  <c:v>2.16</c:v>
                </c:pt>
                <c:pt idx="18">
                  <c:v>2.6400000000000006</c:v>
                </c:pt>
                <c:pt idx="19">
                  <c:v>3.1199999999999992</c:v>
                </c:pt>
                <c:pt idx="20">
                  <c:v>3.5999999999999996</c:v>
                </c:pt>
                <c:pt idx="21">
                  <c:v>4.0799999999999983</c:v>
                </c:pt>
                <c:pt idx="22">
                  <c:v>4.5599999999999987</c:v>
                </c:pt>
                <c:pt idx="23">
                  <c:v>5.0399999999999991</c:v>
                </c:pt>
                <c:pt idx="24">
                  <c:v>5.52</c:v>
                </c:pt>
                <c:pt idx="25">
                  <c:v>6</c:v>
                </c:pt>
                <c:pt idx="26">
                  <c:v>6.48</c:v>
                </c:pt>
                <c:pt idx="27">
                  <c:v>6.9600000000000009</c:v>
                </c:pt>
                <c:pt idx="28">
                  <c:v>7.4399999999999977</c:v>
                </c:pt>
                <c:pt idx="29">
                  <c:v>7.9200000000000017</c:v>
                </c:pt>
                <c:pt idx="30">
                  <c:v>8.3999999999999986</c:v>
                </c:pt>
                <c:pt idx="31">
                  <c:v>8.879999999999999</c:v>
                </c:pt>
                <c:pt idx="32">
                  <c:v>9.36</c:v>
                </c:pt>
                <c:pt idx="33">
                  <c:v>9.84</c:v>
                </c:pt>
                <c:pt idx="34">
                  <c:v>10.32</c:v>
                </c:pt>
                <c:pt idx="35">
                  <c:v>10.8</c:v>
                </c:pt>
                <c:pt idx="36">
                  <c:v>11.280000000000001</c:v>
                </c:pt>
                <c:pt idx="37">
                  <c:v>11.759999999999998</c:v>
                </c:pt>
                <c:pt idx="38">
                  <c:v>12.239999999999998</c:v>
                </c:pt>
                <c:pt idx="39">
                  <c:v>12.719999999999999</c:v>
                </c:pt>
                <c:pt idx="40">
                  <c:v>13.2</c:v>
                </c:pt>
                <c:pt idx="41">
                  <c:v>13.68</c:v>
                </c:pt>
                <c:pt idx="42">
                  <c:v>14.16</c:v>
                </c:pt>
                <c:pt idx="43">
                  <c:v>14.64</c:v>
                </c:pt>
                <c:pt idx="44">
                  <c:v>15.119999999999997</c:v>
                </c:pt>
                <c:pt idx="45">
                  <c:v>15.599999999999998</c:v>
                </c:pt>
                <c:pt idx="46">
                  <c:v>16.079999999999998</c:v>
                </c:pt>
                <c:pt idx="47">
                  <c:v>16.559999999999999</c:v>
                </c:pt>
                <c:pt idx="48">
                  <c:v>17.04</c:v>
                </c:pt>
                <c:pt idx="49">
                  <c:v>17.52</c:v>
                </c:pt>
                <c:pt idx="50">
                  <c:v>18</c:v>
                </c:pt>
                <c:pt idx="51">
                  <c:v>18.48</c:v>
                </c:pt>
                <c:pt idx="52">
                  <c:v>18.96</c:v>
                </c:pt>
                <c:pt idx="53">
                  <c:v>19.439999999999998</c:v>
                </c:pt>
                <c:pt idx="54">
                  <c:v>19.919999999999998</c:v>
                </c:pt>
                <c:pt idx="55">
                  <c:v>20.399999999999999</c:v>
                </c:pt>
                <c:pt idx="56">
                  <c:v>20.879999999999995</c:v>
                </c:pt>
                <c:pt idx="57">
                  <c:v>21.36</c:v>
                </c:pt>
                <c:pt idx="58">
                  <c:v>21.840000000000003</c:v>
                </c:pt>
                <c:pt idx="59">
                  <c:v>22.32</c:v>
                </c:pt>
                <c:pt idx="60">
                  <c:v>22.799999999999997</c:v>
                </c:pt>
                <c:pt idx="61">
                  <c:v>23.28</c:v>
                </c:pt>
                <c:pt idx="62">
                  <c:v>23.759999999999998</c:v>
                </c:pt>
                <c:pt idx="63">
                  <c:v>24.239999999999995</c:v>
                </c:pt>
                <c:pt idx="64">
                  <c:v>24.72</c:v>
                </c:pt>
                <c:pt idx="65">
                  <c:v>25.200000000000003</c:v>
                </c:pt>
                <c:pt idx="66">
                  <c:v>25.68</c:v>
                </c:pt>
                <c:pt idx="67">
                  <c:v>26.159999999999997</c:v>
                </c:pt>
                <c:pt idx="68">
                  <c:v>26.64</c:v>
                </c:pt>
                <c:pt idx="69">
                  <c:v>27.119999999999997</c:v>
                </c:pt>
                <c:pt idx="70">
                  <c:v>27.6</c:v>
                </c:pt>
                <c:pt idx="71">
                  <c:v>28.08</c:v>
                </c:pt>
                <c:pt idx="72">
                  <c:v>28.560000000000002</c:v>
                </c:pt>
                <c:pt idx="73">
                  <c:v>29.04</c:v>
                </c:pt>
                <c:pt idx="74">
                  <c:v>29.519999999999996</c:v>
                </c:pt>
                <c:pt idx="75">
                  <c:v>30</c:v>
                </c:pt>
                <c:pt idx="76">
                  <c:v>30.479999999999997</c:v>
                </c:pt>
                <c:pt idx="77">
                  <c:v>30.96</c:v>
                </c:pt>
                <c:pt idx="78">
                  <c:v>31.439999999999998</c:v>
                </c:pt>
                <c:pt idx="79">
                  <c:v>31.92</c:v>
                </c:pt>
                <c:pt idx="80">
                  <c:v>32.4</c:v>
                </c:pt>
                <c:pt idx="81">
                  <c:v>32.879999999999995</c:v>
                </c:pt>
                <c:pt idx="82">
                  <c:v>33.36</c:v>
                </c:pt>
                <c:pt idx="83">
                  <c:v>33.839999999999996</c:v>
                </c:pt>
                <c:pt idx="84">
                  <c:v>34.32</c:v>
                </c:pt>
                <c:pt idx="85">
                  <c:v>34.799999999999997</c:v>
                </c:pt>
                <c:pt idx="86">
                  <c:v>35.28</c:v>
                </c:pt>
                <c:pt idx="87">
                  <c:v>35.76</c:v>
                </c:pt>
                <c:pt idx="88">
                  <c:v>36.239999999999995</c:v>
                </c:pt>
                <c:pt idx="89">
                  <c:v>36.72</c:v>
                </c:pt>
                <c:pt idx="90">
                  <c:v>37.199999999999996</c:v>
                </c:pt>
                <c:pt idx="91">
                  <c:v>37.68</c:v>
                </c:pt>
                <c:pt idx="92">
                  <c:v>38.159999999999997</c:v>
                </c:pt>
                <c:pt idx="93">
                  <c:v>38.64</c:v>
                </c:pt>
                <c:pt idx="94">
                  <c:v>39.119999999999997</c:v>
                </c:pt>
                <c:pt idx="95">
                  <c:v>39.6</c:v>
                </c:pt>
                <c:pt idx="96">
                  <c:v>40.08</c:v>
                </c:pt>
                <c:pt idx="97">
                  <c:v>40.559999999999995</c:v>
                </c:pt>
                <c:pt idx="98">
                  <c:v>41.04</c:v>
                </c:pt>
                <c:pt idx="99">
                  <c:v>41.519999999999996</c:v>
                </c:pt>
                <c:pt idx="100">
                  <c:v>42</c:v>
                </c:pt>
              </c:numCache>
            </c:numRef>
          </c:xVal>
          <c:yVal>
            <c:numRef>
              <c:f>D_2!$AQ$15:$AQ$1015</c:f>
              <c:numCache>
                <c:formatCode>General</c:formatCode>
                <c:ptCount val="1001"/>
                <c:pt idx="0">
                  <c:v>-93256.327233356395</c:v>
                </c:pt>
                <c:pt idx="1">
                  <c:v>-88620.027644956455</c:v>
                </c:pt>
                <c:pt idx="2">
                  <c:v>-84125.596383646509</c:v>
                </c:pt>
                <c:pt idx="3">
                  <c:v>-79778.759738262248</c:v>
                </c:pt>
                <c:pt idx="4">
                  <c:v>-75584.628226490182</c:v>
                </c:pt>
                <c:pt idx="5">
                  <c:v>-71547.696594867695</c:v>
                </c:pt>
                <c:pt idx="6">
                  <c:v>-67671.843818782945</c:v>
                </c:pt>
                <c:pt idx="7">
                  <c:v>-63960.333102474848</c:v>
                </c:pt>
                <c:pt idx="8">
                  <c:v>-60415.811879033208</c:v>
                </c:pt>
                <c:pt idx="9">
                  <c:v>-57040.311810398576</c:v>
                </c:pt>
                <c:pt idx="10">
                  <c:v>-53835.248787362369</c:v>
                </c:pt>
                <c:pt idx="11">
                  <c:v>-50801.422929566776</c:v>
                </c:pt>
                <c:pt idx="12">
                  <c:v>-47939.018585504789</c:v>
                </c:pt>
                <c:pt idx="13">
                  <c:v>-45247.604332520234</c:v>
                </c:pt>
                <c:pt idx="14">
                  <c:v>-42726.132976807741</c:v>
                </c:pt>
                <c:pt idx="15">
                  <c:v>-40372.941553412733</c:v>
                </c:pt>
                <c:pt idx="16">
                  <c:v>-38185.751326231461</c:v>
                </c:pt>
                <c:pt idx="17">
                  <c:v>-36161.667788010971</c:v>
                </c:pt>
                <c:pt idx="18">
                  <c:v>-34297.180660349135</c:v>
                </c:pt>
                <c:pt idx="19">
                  <c:v>-32588.163893694622</c:v>
                </c:pt>
                <c:pt idx="20">
                  <c:v>-31029.875667346903</c:v>
                </c:pt>
                <c:pt idx="21">
                  <c:v>-29616.958389456282</c:v>
                </c:pt>
                <c:pt idx="22">
                  <c:v>-28343.438697023848</c:v>
                </c:pt>
                <c:pt idx="23">
                  <c:v>-27202.727455901513</c:v>
                </c:pt>
                <c:pt idx="24">
                  <c:v>-26187.619760791989</c:v>
                </c:pt>
                <c:pt idx="25">
                  <c:v>-25290.294935248814</c:v>
                </c:pt>
                <c:pt idx="26">
                  <c:v>-24502.316531676319</c:v>
                </c:pt>
                <c:pt idx="27">
                  <c:v>-23814.632331329649</c:v>
                </c:pt>
                <c:pt idx="28">
                  <c:v>-23217.574344314758</c:v>
                </c:pt>
                <c:pt idx="29">
                  <c:v>-22700.858809588412</c:v>
                </c:pt>
                <c:pt idx="30">
                  <c:v>-22253.586194958181</c:v>
                </c:pt>
                <c:pt idx="31">
                  <c:v>-21864.241197082461</c:v>
                </c:pt>
                <c:pt idx="32">
                  <c:v>-21520.692741470419</c:v>
                </c:pt>
                <c:pt idx="33">
                  <c:v>-21210.19398248208</c:v>
                </c:pt>
                <c:pt idx="34">
                  <c:v>-20919.382303328242</c:v>
                </c:pt>
                <c:pt idx="35">
                  <c:v>-20634.279316070533</c:v>
                </c:pt>
                <c:pt idx="36">
                  <c:v>-20340.290861621368</c:v>
                </c:pt>
                <c:pt idx="37">
                  <c:v>-20022.207009744016</c:v>
                </c:pt>
                <c:pt idx="38">
                  <c:v>-19664.202059052484</c:v>
                </c:pt>
                <c:pt idx="39">
                  <c:v>-19249.834537011637</c:v>
                </c:pt>
                <c:pt idx="40">
                  <c:v>-18762.047199937173</c:v>
                </c:pt>
                <c:pt idx="41">
                  <c:v>-18183.167032995545</c:v>
                </c:pt>
                <c:pt idx="42">
                  <c:v>-17494.90525020405</c:v>
                </c:pt>
                <c:pt idx="43">
                  <c:v>-16678.357294430745</c:v>
                </c:pt>
                <c:pt idx="44">
                  <c:v>-15714.00283739459</c:v>
                </c:pt>
                <c:pt idx="45">
                  <c:v>-14581.70577966523</c:v>
                </c:pt>
                <c:pt idx="46">
                  <c:v>-13260.714250663266</c:v>
                </c:pt>
                <c:pt idx="47">
                  <c:v>-11729.660608659964</c:v>
                </c:pt>
                <c:pt idx="48">
                  <c:v>-9966.5614407774992</c:v>
                </c:pt>
                <c:pt idx="49">
                  <c:v>-7948.8175629887846</c:v>
                </c:pt>
                <c:pt idx="50">
                  <c:v>-5653.2140201176298</c:v>
                </c:pt>
                <c:pt idx="51">
                  <c:v>-3055.9200858385811</c:v>
                </c:pt>
                <c:pt idx="52">
                  <c:v>-132.48926267700881</c:v>
                </c:pt>
                <c:pt idx="53">
                  <c:v>3142.1407179908929</c:v>
                </c:pt>
                <c:pt idx="54">
                  <c:v>6793.6478959381129</c:v>
                </c:pt>
                <c:pt idx="55">
                  <c:v>10848.326082086911</c:v>
                </c:pt>
                <c:pt idx="56">
                  <c:v>15333.08485850857</c:v>
                </c:pt>
                <c:pt idx="57">
                  <c:v>20275.449578423817</c:v>
                </c:pt>
                <c:pt idx="58">
                  <c:v>25703.561366202302</c:v>
                </c:pt>
                <c:pt idx="59">
                  <c:v>31646.177117362888</c:v>
                </c:pt>
                <c:pt idx="60">
                  <c:v>38132.66949857388</c:v>
                </c:pt>
                <c:pt idx="61">
                  <c:v>45193.026947652681</c:v>
                </c:pt>
                <c:pt idx="62">
                  <c:v>52857.853673565573</c:v>
                </c:pt>
                <c:pt idx="63">
                  <c:v>61158.369656428426</c:v>
                </c:pt>
                <c:pt idx="64">
                  <c:v>70126.410647506302</c:v>
                </c:pt>
                <c:pt idx="65">
                  <c:v>79794.428169213119</c:v>
                </c:pt>
                <c:pt idx="66">
                  <c:v>90195.489515112073</c:v>
                </c:pt>
                <c:pt idx="67">
                  <c:v>101363.27774991575</c:v>
                </c:pt>
                <c:pt idx="68">
                  <c:v>113332.09170948601</c:v>
                </c:pt>
                <c:pt idx="69">
                  <c:v>126136.84600083332</c:v>
                </c:pt>
                <c:pt idx="70">
                  <c:v>139813.07100211823</c:v>
                </c:pt>
                <c:pt idx="71">
                  <c:v>154396.91286264954</c:v>
                </c:pt>
                <c:pt idx="72">
                  <c:v>169925.13350288602</c:v>
                </c:pt>
                <c:pt idx="73">
                  <c:v>186435.11061443502</c:v>
                </c:pt>
                <c:pt idx="74">
                  <c:v>203964.83766005331</c:v>
                </c:pt>
                <c:pt idx="75">
                  <c:v>222552.92387364747</c:v>
                </c:pt>
                <c:pt idx="76">
                  <c:v>242238.59426027193</c:v>
                </c:pt>
                <c:pt idx="77">
                  <c:v>263061.68959613174</c:v>
                </c:pt>
                <c:pt idx="78">
                  <c:v>285062.66642858001</c:v>
                </c:pt>
                <c:pt idx="79">
                  <c:v>308282.59707612015</c:v>
                </c:pt>
                <c:pt idx="80">
                  <c:v>332763.16962840309</c:v>
                </c:pt>
                <c:pt idx="81">
                  <c:v>358546.68794623041</c:v>
                </c:pt>
                <c:pt idx="82">
                  <c:v>385676.07166155323</c:v>
                </c:pt>
                <c:pt idx="83">
                  <c:v>414194.8561774703</c:v>
                </c:pt>
                <c:pt idx="84">
                  <c:v>444147.19266823045</c:v>
                </c:pt>
                <c:pt idx="85">
                  <c:v>475577.84807923139</c:v>
                </c:pt>
                <c:pt idx="86">
                  <c:v>508532.20512702089</c:v>
                </c:pt>
                <c:pt idx="87">
                  <c:v>543056.26229929447</c:v>
                </c:pt>
                <c:pt idx="88">
                  <c:v>579196.63385489804</c:v>
                </c:pt>
                <c:pt idx="89">
                  <c:v>617000.54982382664</c:v>
                </c:pt>
                <c:pt idx="90">
                  <c:v>656515.85600722337</c:v>
                </c:pt>
                <c:pt idx="91">
                  <c:v>697791.0139773821</c:v>
                </c:pt>
                <c:pt idx="92">
                  <c:v>740875.10107774392</c:v>
                </c:pt>
                <c:pt idx="93">
                  <c:v>785817.81042290188</c:v>
                </c:pt>
                <c:pt idx="94">
                  <c:v>832669.45089859492</c:v>
                </c:pt>
                <c:pt idx="95">
                  <c:v>881480.94716171443</c:v>
                </c:pt>
                <c:pt idx="96">
                  <c:v>932303.83964029769</c:v>
                </c:pt>
                <c:pt idx="97">
                  <c:v>985190.28453353455</c:v>
                </c:pt>
                <c:pt idx="98">
                  <c:v>1040193.0538117617</c:v>
                </c:pt>
                <c:pt idx="99">
                  <c:v>1097365.5352164656</c:v>
                </c:pt>
                <c:pt idx="100">
                  <c:v>1156761.7322602826</c:v>
                </c:pt>
              </c:numCache>
            </c:numRef>
          </c:yVal>
          <c:smooth val="1"/>
          <c:extLst>
            <c:ext xmlns:c16="http://schemas.microsoft.com/office/drawing/2014/chart" uri="{C3380CC4-5D6E-409C-BE32-E72D297353CC}">
              <c16:uniqueId val="{00000000-41E3-4A7D-A324-4981FAA3E010}"/>
            </c:ext>
          </c:extLst>
        </c:ser>
        <c:ser>
          <c:idx val="1"/>
          <c:order val="1"/>
          <c:tx>
            <c:v>計算区間</c:v>
          </c:tx>
          <c:spPr>
            <a:ln w="19050" cap="rnd">
              <a:solidFill>
                <a:schemeClr val="accent2"/>
              </a:solidFill>
              <a:round/>
            </a:ln>
            <a:effectLst/>
          </c:spPr>
          <c:marker>
            <c:symbol val="none"/>
          </c:marker>
          <c:xVal>
            <c:numRef>
              <c:f>D_2!$AU$15:$AU$1015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D_2!$AT$15:$AT$1015</c:f>
              <c:numCache>
                <c:formatCode>General</c:formatCode>
                <c:ptCount val="1001"/>
                <c:pt idx="0">
                  <c:v>-25290.294935248814</c:v>
                </c:pt>
                <c:pt idx="1">
                  <c:v>-24883.188762251473</c:v>
                </c:pt>
                <c:pt idx="2">
                  <c:v>-24502.316531676319</c:v>
                </c:pt>
                <c:pt idx="3">
                  <c:v>-24146.527473331826</c:v>
                </c:pt>
                <c:pt idx="4">
                  <c:v>-23814.632331329645</c:v>
                </c:pt>
                <c:pt idx="5">
                  <c:v>-23505.403364084621</c:v>
                </c:pt>
                <c:pt idx="6">
                  <c:v>-23217.574344314758</c:v>
                </c:pt>
                <c:pt idx="7">
                  <c:v>-22949.840559041233</c:v>
                </c:pt>
                <c:pt idx="8">
                  <c:v>-22700.858809588408</c:v>
                </c:pt>
                <c:pt idx="9">
                  <c:v>-22469.247411583823</c:v>
                </c:pt>
                <c:pt idx="10">
                  <c:v>-22253.586194958185</c:v>
                </c:pt>
                <c:pt idx="11">
                  <c:v>-22052.416503945369</c:v>
                </c:pt>
                <c:pt idx="12">
                  <c:v>-21864.241197082461</c:v>
                </c:pt>
                <c:pt idx="13">
                  <c:v>-21687.524647209666</c:v>
                </c:pt>
                <c:pt idx="14">
                  <c:v>-21520.692741470419</c:v>
                </c:pt>
                <c:pt idx="15">
                  <c:v>-21362.132881311307</c:v>
                </c:pt>
                <c:pt idx="16">
                  <c:v>-21210.19398248208</c:v>
                </c:pt>
                <c:pt idx="17">
                  <c:v>-21063.186475035687</c:v>
                </c:pt>
                <c:pt idx="18">
                  <c:v>-20919.382303328242</c:v>
                </c:pt>
                <c:pt idx="19">
                  <c:v>-20777.01492601903</c:v>
                </c:pt>
                <c:pt idx="20">
                  <c:v>-20634.279316070533</c:v>
                </c:pt>
                <c:pt idx="21">
                  <c:v>-20489.331960748365</c:v>
                </c:pt>
                <c:pt idx="22">
                  <c:v>-20340.290861621375</c:v>
                </c:pt>
                <c:pt idx="23">
                  <c:v>-20185.235534561521</c:v>
                </c:pt>
                <c:pt idx="24">
                  <c:v>-20022.207009744001</c:v>
                </c:pt>
                <c:pt idx="25">
                  <c:v>-19849.207831647152</c:v>
                </c:pt>
                <c:pt idx="26">
                  <c:v>-19664.202059052477</c:v>
                </c:pt>
                <c:pt idx="27">
                  <c:v>-19465.115265044682</c:v>
                </c:pt>
                <c:pt idx="28">
                  <c:v>-19249.834537011637</c:v>
                </c:pt>
                <c:pt idx="29">
                  <c:v>-19016.20847664441</c:v>
                </c:pt>
                <c:pt idx="30">
                  <c:v>-18762.047199937173</c:v>
                </c:pt>
                <c:pt idx="31">
                  <c:v>-18485.122337187371</c:v>
                </c:pt>
                <c:pt idx="32">
                  <c:v>-18183.167032995545</c:v>
                </c:pt>
                <c:pt idx="33">
                  <c:v>-17853.875946265463</c:v>
                </c:pt>
                <c:pt idx="34">
                  <c:v>-17494.90525020405</c:v>
                </c:pt>
                <c:pt idx="35">
                  <c:v>-17103.872632321378</c:v>
                </c:pt>
                <c:pt idx="36">
                  <c:v>-16678.357294430745</c:v>
                </c:pt>
                <c:pt idx="37">
                  <c:v>-16215.899952648608</c:v>
                </c:pt>
                <c:pt idx="38">
                  <c:v>-15714.002837394575</c:v>
                </c:pt>
                <c:pt idx="39">
                  <c:v>-15170.129693391464</c:v>
                </c:pt>
                <c:pt idx="40">
                  <c:v>-14581.705779665244</c:v>
                </c:pt>
                <c:pt idx="41">
                  <c:v>-13946.117869545058</c:v>
                </c:pt>
                <c:pt idx="42">
                  <c:v>-13260.714250663266</c:v>
                </c:pt>
                <c:pt idx="43">
                  <c:v>-12522.804724955327</c:v>
                </c:pt>
                <c:pt idx="44">
                  <c:v>-11729.660608659964</c:v>
                </c:pt>
                <c:pt idx="45">
                  <c:v>-10878.51473231901</c:v>
                </c:pt>
                <c:pt idx="46">
                  <c:v>-9966.5614407774992</c:v>
                </c:pt>
                <c:pt idx="47">
                  <c:v>-8990.9565931836187</c:v>
                </c:pt>
                <c:pt idx="48">
                  <c:v>-7948.8175629887846</c:v>
                </c:pt>
                <c:pt idx="49">
                  <c:v>-6837.2232379475754</c:v>
                </c:pt>
                <c:pt idx="50">
                  <c:v>-5653.2140201176298</c:v>
                </c:pt>
                <c:pt idx="51">
                  <c:v>-4393.7918258599384</c:v>
                </c:pt>
                <c:pt idx="52">
                  <c:v>-3055.9200858385811</c:v>
                </c:pt>
                <c:pt idx="53">
                  <c:v>-1636.5237450207715</c:v>
                </c:pt>
                <c:pt idx="54">
                  <c:v>-132.48926267700881</c:v>
                </c:pt>
                <c:pt idx="55">
                  <c:v>1459.3353876191468</c:v>
                </c:pt>
                <c:pt idx="56">
                  <c:v>3142.1407179908929</c:v>
                </c:pt>
                <c:pt idx="57">
                  <c:v>4919.1557262582864</c:v>
                </c:pt>
                <c:pt idx="58">
                  <c:v>6793.6478959381711</c:v>
                </c:pt>
                <c:pt idx="59">
                  <c:v>8768.9231962441918</c:v>
                </c:pt>
                <c:pt idx="60">
                  <c:v>10848.326082086911</c:v>
                </c:pt>
                <c:pt idx="61">
                  <c:v>13035.239494073692</c:v>
                </c:pt>
                <c:pt idx="62">
                  <c:v>15333.084858508613</c:v>
                </c:pt>
                <c:pt idx="63">
                  <c:v>17745.322087392698</c:v>
                </c:pt>
                <c:pt idx="64">
                  <c:v>20275.449578423817</c:v>
                </c:pt>
                <c:pt idx="65">
                  <c:v>22927.004214996508</c:v>
                </c:pt>
                <c:pt idx="66">
                  <c:v>25703.56136620223</c:v>
                </c:pt>
                <c:pt idx="67">
                  <c:v>28608.734886829327</c:v>
                </c:pt>
                <c:pt idx="68">
                  <c:v>31646.177117362888</c:v>
                </c:pt>
                <c:pt idx="69">
                  <c:v>34819.578883984832</c:v>
                </c:pt>
                <c:pt idx="70">
                  <c:v>38132.669498573938</c:v>
                </c:pt>
                <c:pt idx="71">
                  <c:v>41589.216758705712</c:v>
                </c:pt>
                <c:pt idx="72">
                  <c:v>45193.026947652681</c:v>
                </c:pt>
                <c:pt idx="73">
                  <c:v>48947.944834383925</c:v>
                </c:pt>
                <c:pt idx="74">
                  <c:v>52857.853673565573</c:v>
                </c:pt>
                <c:pt idx="75">
                  <c:v>56926.675205560568</c:v>
                </c:pt>
                <c:pt idx="76">
                  <c:v>61158.369656428484</c:v>
                </c:pt>
                <c:pt idx="77">
                  <c:v>65556.935737926018</c:v>
                </c:pt>
                <c:pt idx="78">
                  <c:v>70126.410647506302</c:v>
                </c:pt>
                <c:pt idx="79">
                  <c:v>74870.870068319666</c:v>
                </c:pt>
                <c:pt idx="80">
                  <c:v>79794.428169213032</c:v>
                </c:pt>
                <c:pt idx="81">
                  <c:v>84901.237604730239</c:v>
                </c:pt>
                <c:pt idx="82">
                  <c:v>90195.489515112073</c:v>
                </c:pt>
                <c:pt idx="83">
                  <c:v>95681.413526295742</c:v>
                </c:pt>
                <c:pt idx="84">
                  <c:v>101363.27774991578</c:v>
                </c:pt>
                <c:pt idx="85">
                  <c:v>107245.38878330321</c:v>
                </c:pt>
                <c:pt idx="86">
                  <c:v>113332.09170948601</c:v>
                </c:pt>
                <c:pt idx="87">
                  <c:v>119627.7700971888</c:v>
                </c:pt>
                <c:pt idx="88">
                  <c:v>126136.84600083332</c:v>
                </c:pt>
                <c:pt idx="89">
                  <c:v>132863.77996053814</c:v>
                </c:pt>
                <c:pt idx="90">
                  <c:v>139813.07100211809</c:v>
                </c:pt>
                <c:pt idx="91">
                  <c:v>146989.25663708572</c:v>
                </c:pt>
                <c:pt idx="92">
                  <c:v>154396.91286264954</c:v>
                </c:pt>
                <c:pt idx="93">
                  <c:v>162040.6541617155</c:v>
                </c:pt>
                <c:pt idx="94">
                  <c:v>169925.13350288599</c:v>
                </c:pt>
                <c:pt idx="95">
                  <c:v>178055.04234046041</c:v>
                </c:pt>
                <c:pt idx="96">
                  <c:v>186435.11061443502</c:v>
                </c:pt>
                <c:pt idx="97">
                  <c:v>195070.10675050266</c:v>
                </c:pt>
                <c:pt idx="98">
                  <c:v>203964.83766005351</c:v>
                </c:pt>
                <c:pt idx="99">
                  <c:v>213124.14874017384</c:v>
                </c:pt>
                <c:pt idx="100">
                  <c:v>222552.92387364747</c:v>
                </c:pt>
              </c:numCache>
            </c:numRef>
          </c:yVal>
          <c:smooth val="1"/>
          <c:extLst>
            <c:ext xmlns:c16="http://schemas.microsoft.com/office/drawing/2014/chart" uri="{C3380CC4-5D6E-409C-BE32-E72D297353CC}">
              <c16:uniqueId val="{00000001-41E3-4A7D-A324-4981FAA3E010}"/>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tx>
            <c:v>計算区間</c:v>
          </c:tx>
          <c:spPr>
            <a:ln w="19050" cap="rnd">
              <a:solidFill>
                <a:schemeClr val="accent2"/>
              </a:solidFill>
              <a:round/>
            </a:ln>
            <a:effectLst/>
          </c:spPr>
          <c:marker>
            <c:symbol val="none"/>
          </c:marker>
          <c:xVal>
            <c:numRef>
              <c:f>D_3!$AU$15:$AU$1015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D_3!$AT$15:$AT$1015</c:f>
              <c:numCache>
                <c:formatCode>General</c:formatCode>
                <c:ptCount val="1001"/>
                <c:pt idx="0">
                  <c:v>-9089.4371062693408</c:v>
                </c:pt>
                <c:pt idx="1">
                  <c:v>-9152.7783821878747</c:v>
                </c:pt>
                <c:pt idx="2">
                  <c:v>-9230.727273451459</c:v>
                </c:pt>
                <c:pt idx="3">
                  <c:v>-9322.1657346749962</c:v>
                </c:pt>
                <c:pt idx="4">
                  <c:v>-9425.9372347765584</c:v>
                </c:pt>
                <c:pt idx="5">
                  <c:v>-9540.8467569774002</c:v>
                </c:pt>
                <c:pt idx="6">
                  <c:v>-9665.6607988019387</c:v>
                </c:pt>
                <c:pt idx="7">
                  <c:v>-9799.1073720777822</c:v>
                </c:pt>
                <c:pt idx="8">
                  <c:v>-9939.8760029357018</c:v>
                </c:pt>
                <c:pt idx="9">
                  <c:v>-10086.61773180966</c:v>
                </c:pt>
                <c:pt idx="10">
                  <c:v>-10237.945113436772</c:v>
                </c:pt>
                <c:pt idx="11">
                  <c:v>-10392.432216857349</c:v>
                </c:pt>
                <c:pt idx="12">
                  <c:v>-10548.614625414873</c:v>
                </c:pt>
                <c:pt idx="13">
                  <c:v>-10704.989436755994</c:v>
                </c:pt>
                <c:pt idx="14">
                  <c:v>-10860.015262830533</c:v>
                </c:pt>
                <c:pt idx="15">
                  <c:v>-11012.112229891522</c:v>
                </c:pt>
                <c:pt idx="16">
                  <c:v>-11159.661978495118</c:v>
                </c:pt>
                <c:pt idx="17">
                  <c:v>-11301.007663500684</c:v>
                </c:pt>
                <c:pt idx="18">
                  <c:v>-11434.453954070759</c:v>
                </c:pt>
                <c:pt idx="19">
                  <c:v>-11558.267033671047</c:v>
                </c:pt>
                <c:pt idx="20">
                  <c:v>-11670.67460007043</c:v>
                </c:pt>
                <c:pt idx="21">
                  <c:v>-11769.865865340966</c:v>
                </c:pt>
                <c:pt idx="22">
                  <c:v>-11853.991555857898</c:v>
                </c:pt>
                <c:pt idx="23">
                  <c:v>-11921.163912299635</c:v>
                </c:pt>
                <c:pt idx="24">
                  <c:v>-11969.456689647763</c:v>
                </c:pt>
                <c:pt idx="25">
                  <c:v>-11996.905157187033</c:v>
                </c:pt>
                <c:pt idx="26">
                  <c:v>-12001.506098505386</c:v>
                </c:pt>
                <c:pt idx="27">
                  <c:v>-11981.217811493952</c:v>
                </c:pt>
                <c:pt idx="28">
                  <c:v>-11933.960108347001</c:v>
                </c:pt>
                <c:pt idx="29">
                  <c:v>-11857.614315562001</c:v>
                </c:pt>
                <c:pt idx="30">
                  <c:v>-11750.023273939591</c:v>
                </c:pt>
                <c:pt idx="31">
                  <c:v>-11608.99133858359</c:v>
                </c:pt>
                <c:pt idx="32">
                  <c:v>-11432.284378900986</c:v>
                </c:pt>
                <c:pt idx="33">
                  <c:v>-11217.629778601957</c:v>
                </c:pt>
                <c:pt idx="34">
                  <c:v>-10962.716435699829</c:v>
                </c:pt>
                <c:pt idx="35">
                  <c:v>-10665.194762511124</c:v>
                </c:pt>
                <c:pt idx="36">
                  <c:v>-10322.67668565553</c:v>
                </c:pt>
                <c:pt idx="37">
                  <c:v>-9932.7356460559276</c:v>
                </c:pt>
                <c:pt idx="38">
                  <c:v>-9492.9065989383525</c:v>
                </c:pt>
                <c:pt idx="39">
                  <c:v>-9000.6860138320371</c:v>
                </c:pt>
                <c:pt idx="40">
                  <c:v>-8453.5318745693585</c:v>
                </c:pt>
                <c:pt idx="41">
                  <c:v>-7848.8636792858888</c:v>
                </c:pt>
                <c:pt idx="42">
                  <c:v>-7184.0624404203991</c:v>
                </c:pt>
                <c:pt idx="43">
                  <c:v>-6456.4706847147827</c:v>
                </c:pt>
                <c:pt idx="44">
                  <c:v>-5663.3924532141536</c:v>
                </c:pt>
                <c:pt idx="45">
                  <c:v>-4802.0933012667811</c:v>
                </c:pt>
                <c:pt idx="46">
                  <c:v>-3869.8002985240964</c:v>
                </c:pt>
                <c:pt idx="47">
                  <c:v>-2863.7020289407519</c:v>
                </c:pt>
                <c:pt idx="48">
                  <c:v>-1780.9485907745475</c:v>
                </c:pt>
                <c:pt idx="49">
                  <c:v>-618.65159658646007</c:v>
                </c:pt>
                <c:pt idx="50">
                  <c:v>626.11582675940735</c:v>
                </c:pt>
                <c:pt idx="51">
                  <c:v>1956.3190380956803</c:v>
                </c:pt>
                <c:pt idx="52">
                  <c:v>3374.9618819518582</c:v>
                </c:pt>
                <c:pt idx="53">
                  <c:v>4885.0866885542709</c:v>
                </c:pt>
                <c:pt idx="54">
                  <c:v>6489.7742738260786</c:v>
                </c:pt>
                <c:pt idx="55">
                  <c:v>8192.1439393872206</c:v>
                </c:pt>
                <c:pt idx="56">
                  <c:v>9995.3534725545178</c:v>
                </c:pt>
                <c:pt idx="57">
                  <c:v>11902.599146341599</c:v>
                </c:pt>
                <c:pt idx="58">
                  <c:v>13917.115719458903</c:v>
                </c:pt>
                <c:pt idx="59">
                  <c:v>16042.176436313654</c:v>
                </c:pt>
                <c:pt idx="60">
                  <c:v>18281.093027009985</c:v>
                </c:pt>
                <c:pt idx="61">
                  <c:v>20637.215707348842</c:v>
                </c:pt>
                <c:pt idx="62">
                  <c:v>23113.933178827894</c:v>
                </c:pt>
                <c:pt idx="63">
                  <c:v>25714.672628641732</c:v>
                </c:pt>
                <c:pt idx="64">
                  <c:v>28442.899729681834</c:v>
                </c:pt>
                <c:pt idx="65">
                  <c:v>31302.118640536319</c:v>
                </c:pt>
                <c:pt idx="66">
                  <c:v>34295.872005490193</c:v>
                </c:pt>
                <c:pt idx="67">
                  <c:v>37427.74095452542</c:v>
                </c:pt>
                <c:pt idx="68">
                  <c:v>40701.345103320637</c:v>
                </c:pt>
                <c:pt idx="69">
                  <c:v>44120.342553251372</c:v>
                </c:pt>
                <c:pt idx="70">
                  <c:v>47688.429891389977</c:v>
                </c:pt>
                <c:pt idx="71">
                  <c:v>51409.342190505529</c:v>
                </c:pt>
                <c:pt idx="72">
                  <c:v>55286.853009064158</c:v>
                </c:pt>
                <c:pt idx="73">
                  <c:v>59324.774391228464</c:v>
                </c:pt>
                <c:pt idx="74">
                  <c:v>63526.95686685828</c:v>
                </c:pt>
                <c:pt idx="75">
                  <c:v>67897.289451510049</c:v>
                </c:pt>
                <c:pt idx="76">
                  <c:v>72439.699646436929</c:v>
                </c:pt>
                <c:pt idx="77">
                  <c:v>77158.153438589186</c:v>
                </c:pt>
                <c:pt idx="78">
                  <c:v>82056.655300613565</c:v>
                </c:pt>
                <c:pt idx="79">
                  <c:v>87139.248190853992</c:v>
                </c:pt>
                <c:pt idx="80">
                  <c:v>92410.013553350946</c:v>
                </c:pt>
                <c:pt idx="81">
                  <c:v>97873.071317841823</c:v>
                </c:pt>
                <c:pt idx="82">
                  <c:v>103532.57989976107</c:v>
                </c:pt>
                <c:pt idx="83">
                  <c:v>109392.73620023941</c:v>
                </c:pt>
                <c:pt idx="84">
                  <c:v>115457.77560610494</c:v>
                </c:pt>
                <c:pt idx="85">
                  <c:v>121731.97198988231</c:v>
                </c:pt>
                <c:pt idx="86">
                  <c:v>128219.6377097931</c:v>
                </c:pt>
                <c:pt idx="87">
                  <c:v>134925.12360975548</c:v>
                </c:pt>
                <c:pt idx="88">
                  <c:v>141852.81901938468</c:v>
                </c:pt>
                <c:pt idx="89">
                  <c:v>149007.15175399306</c:v>
                </c:pt>
                <c:pt idx="90">
                  <c:v>156392.58811458887</c:v>
                </c:pt>
                <c:pt idx="91">
                  <c:v>164013.63288787828</c:v>
                </c:pt>
                <c:pt idx="92">
                  <c:v>171874.82934626337</c:v>
                </c:pt>
                <c:pt idx="93">
                  <c:v>179980.75924784376</c:v>
                </c:pt>
                <c:pt idx="94">
                  <c:v>188336.04283641535</c:v>
                </c:pt>
                <c:pt idx="95">
                  <c:v>196945.33884147118</c:v>
                </c:pt>
                <c:pt idx="96">
                  <c:v>205813.34447820089</c:v>
                </c:pt>
                <c:pt idx="97">
                  <c:v>214944.79544749117</c:v>
                </c:pt>
                <c:pt idx="98">
                  <c:v>224344.4659359256</c:v>
                </c:pt>
                <c:pt idx="99">
                  <c:v>234017.16861578409</c:v>
                </c:pt>
                <c:pt idx="100">
                  <c:v>243967.7546450441</c:v>
                </c:pt>
              </c:numCache>
            </c:numRef>
          </c:yVal>
          <c:smooth val="1"/>
          <c:extLst>
            <c:ext xmlns:c16="http://schemas.microsoft.com/office/drawing/2014/chart" uri="{C3380CC4-5D6E-409C-BE32-E72D297353CC}">
              <c16:uniqueId val="{00000000-42F3-416B-ADFE-ABD5ED44A19D}"/>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9949774796668"/>
          <c:y val="6.7644211140274135E-2"/>
          <c:w val="0.78011967639847479"/>
          <c:h val="0.79875856258708411"/>
        </c:manualLayout>
      </c:layout>
      <c:scatterChart>
        <c:scatterStyle val="lineMarker"/>
        <c:varyColors val="0"/>
        <c:ser>
          <c:idx val="0"/>
          <c:order val="0"/>
          <c:tx>
            <c:v>回帰曲線</c:v>
          </c:tx>
          <c:spPr>
            <a:ln w="19050" cap="rnd">
              <a:solidFill>
                <a:schemeClr val="accent1"/>
              </a:solidFill>
              <a:round/>
            </a:ln>
            <a:effectLst/>
          </c:spPr>
          <c:marker>
            <c:symbol val="none"/>
          </c:marker>
          <c:xVal>
            <c:numRef>
              <c:f>'C3'!$BJ$14:$BJ$1013</c:f>
              <c:numCache>
                <c:formatCode>General</c:formatCode>
                <c:ptCount val="1000"/>
                <c:pt idx="0">
                  <c:v>14.842300559999998</c:v>
                </c:pt>
                <c:pt idx="1">
                  <c:v>60.853432284399986</c:v>
                </c:pt>
                <c:pt idx="2">
                  <c:v>106.86456400879997</c:v>
                </c:pt>
                <c:pt idx="3">
                  <c:v>152.87569573320005</c:v>
                </c:pt>
                <c:pt idx="4">
                  <c:v>198.88682745760002</c:v>
                </c:pt>
                <c:pt idx="5">
                  <c:v>244.89795918199997</c:v>
                </c:pt>
                <c:pt idx="6">
                  <c:v>290.90909090639997</c:v>
                </c:pt>
                <c:pt idx="7">
                  <c:v>336.92022263079997</c:v>
                </c:pt>
                <c:pt idx="8">
                  <c:v>382.93135435519997</c:v>
                </c:pt>
                <c:pt idx="9">
                  <c:v>428.94248607959997</c:v>
                </c:pt>
                <c:pt idx="10">
                  <c:v>474.95361780399998</c:v>
                </c:pt>
                <c:pt idx="11">
                  <c:v>520.96474952839992</c:v>
                </c:pt>
                <c:pt idx="12">
                  <c:v>566.97588125280004</c:v>
                </c:pt>
                <c:pt idx="13">
                  <c:v>612.98701297720004</c:v>
                </c:pt>
                <c:pt idx="14">
                  <c:v>658.99814470159993</c:v>
                </c:pt>
                <c:pt idx="15">
                  <c:v>705.00927642599993</c:v>
                </c:pt>
                <c:pt idx="16">
                  <c:v>751.02040815040004</c:v>
                </c:pt>
                <c:pt idx="17">
                  <c:v>797.03153987480005</c:v>
                </c:pt>
                <c:pt idx="18">
                  <c:v>843.04267159919993</c:v>
                </c:pt>
                <c:pt idx="19">
                  <c:v>889.05380332360016</c:v>
                </c:pt>
                <c:pt idx="20">
                  <c:v>935.06493504799994</c:v>
                </c:pt>
                <c:pt idx="21">
                  <c:v>981.07606677240005</c:v>
                </c:pt>
                <c:pt idx="22">
                  <c:v>1027.0871984967998</c:v>
                </c:pt>
                <c:pt idx="23">
                  <c:v>1073.0983302211998</c:v>
                </c:pt>
                <c:pt idx="24">
                  <c:v>1119.1094619455998</c:v>
                </c:pt>
                <c:pt idx="25">
                  <c:v>1165.1205936700001</c:v>
                </c:pt>
                <c:pt idx="26">
                  <c:v>1211.1317253943998</c:v>
                </c:pt>
                <c:pt idx="27">
                  <c:v>1257.1428571188001</c:v>
                </c:pt>
                <c:pt idx="28">
                  <c:v>1303.1539888431998</c:v>
                </c:pt>
                <c:pt idx="29">
                  <c:v>1349.1651205676001</c:v>
                </c:pt>
                <c:pt idx="30">
                  <c:v>1395.1762522920001</c:v>
                </c:pt>
                <c:pt idx="31">
                  <c:v>1441.1873840164001</c:v>
                </c:pt>
                <c:pt idx="32">
                  <c:v>1487.1985157408003</c:v>
                </c:pt>
                <c:pt idx="33">
                  <c:v>1533.2096474652003</c:v>
                </c:pt>
                <c:pt idx="34">
                  <c:v>1579.2207791895999</c:v>
                </c:pt>
                <c:pt idx="35">
                  <c:v>1625.2319109139999</c:v>
                </c:pt>
                <c:pt idx="36">
                  <c:v>1671.2430426384001</c:v>
                </c:pt>
                <c:pt idx="37">
                  <c:v>1717.2541743628001</c:v>
                </c:pt>
                <c:pt idx="38">
                  <c:v>1763.2653060872003</c:v>
                </c:pt>
                <c:pt idx="39">
                  <c:v>1809.2764378116001</c:v>
                </c:pt>
                <c:pt idx="40">
                  <c:v>1855.2875695359999</c:v>
                </c:pt>
                <c:pt idx="41">
                  <c:v>1901.2987012604001</c:v>
                </c:pt>
                <c:pt idx="42">
                  <c:v>1947.3098329848001</c:v>
                </c:pt>
                <c:pt idx="43">
                  <c:v>1993.3209647092006</c:v>
                </c:pt>
                <c:pt idx="44">
                  <c:v>2039.3320964336001</c:v>
                </c:pt>
                <c:pt idx="45">
                  <c:v>2085.3432281580003</c:v>
                </c:pt>
                <c:pt idx="46">
                  <c:v>2131.3543598824003</c:v>
                </c:pt>
                <c:pt idx="47">
                  <c:v>2177.3654916068003</c:v>
                </c:pt>
                <c:pt idx="48">
                  <c:v>2223.3766233311999</c:v>
                </c:pt>
                <c:pt idx="49">
                  <c:v>2269.3877550556003</c:v>
                </c:pt>
                <c:pt idx="50">
                  <c:v>2315.3988867800003</c:v>
                </c:pt>
                <c:pt idx="51">
                  <c:v>2361.4100185043999</c:v>
                </c:pt>
                <c:pt idx="52">
                  <c:v>2407.4211502288003</c:v>
                </c:pt>
                <c:pt idx="53">
                  <c:v>2453.4322819531999</c:v>
                </c:pt>
                <c:pt idx="54">
                  <c:v>2499.4434136776003</c:v>
                </c:pt>
                <c:pt idx="55">
                  <c:v>2545.4545454019999</c:v>
                </c:pt>
                <c:pt idx="56">
                  <c:v>2591.4656771264004</c:v>
                </c:pt>
                <c:pt idx="57">
                  <c:v>2637.4768088507999</c:v>
                </c:pt>
                <c:pt idx="58">
                  <c:v>2683.4879405752004</c:v>
                </c:pt>
                <c:pt idx="59">
                  <c:v>2729.4990722996004</c:v>
                </c:pt>
                <c:pt idx="60">
                  <c:v>2775.5102040240008</c:v>
                </c:pt>
                <c:pt idx="61">
                  <c:v>2821.5213357484008</c:v>
                </c:pt>
                <c:pt idx="62">
                  <c:v>2867.5324674728008</c:v>
                </c:pt>
                <c:pt idx="63">
                  <c:v>2913.5435991971999</c:v>
                </c:pt>
                <c:pt idx="64">
                  <c:v>2959.5547309215999</c:v>
                </c:pt>
                <c:pt idx="65">
                  <c:v>3005.5658626460004</c:v>
                </c:pt>
                <c:pt idx="66">
                  <c:v>3051.5769943703999</c:v>
                </c:pt>
                <c:pt idx="67">
                  <c:v>3097.5881260947999</c:v>
                </c:pt>
                <c:pt idx="68">
                  <c:v>3143.5992578192004</c:v>
                </c:pt>
                <c:pt idx="69">
                  <c:v>3189.6103895436004</c:v>
                </c:pt>
                <c:pt idx="70">
                  <c:v>3235.6215212679999</c:v>
                </c:pt>
                <c:pt idx="71">
                  <c:v>3281.6326529924004</c:v>
                </c:pt>
                <c:pt idx="72">
                  <c:v>3327.6437847167995</c:v>
                </c:pt>
                <c:pt idx="73">
                  <c:v>3373.6549164411995</c:v>
                </c:pt>
                <c:pt idx="74">
                  <c:v>3419.6660481655999</c:v>
                </c:pt>
                <c:pt idx="75">
                  <c:v>3465.6771798899999</c:v>
                </c:pt>
                <c:pt idx="76">
                  <c:v>3511.6883116143999</c:v>
                </c:pt>
                <c:pt idx="77">
                  <c:v>3557.6994433388004</c:v>
                </c:pt>
                <c:pt idx="78">
                  <c:v>3603.7105750631995</c:v>
                </c:pt>
                <c:pt idx="79">
                  <c:v>3649.7217067876004</c:v>
                </c:pt>
                <c:pt idx="80">
                  <c:v>3695.7328385120004</c:v>
                </c:pt>
                <c:pt idx="81">
                  <c:v>3741.7439702363995</c:v>
                </c:pt>
                <c:pt idx="82">
                  <c:v>3787.7551019607995</c:v>
                </c:pt>
                <c:pt idx="83">
                  <c:v>3833.7662336852004</c:v>
                </c:pt>
                <c:pt idx="84">
                  <c:v>3879.7773654096004</c:v>
                </c:pt>
                <c:pt idx="85">
                  <c:v>3925.7884971339995</c:v>
                </c:pt>
                <c:pt idx="86">
                  <c:v>3971.7996288584</c:v>
                </c:pt>
                <c:pt idx="87">
                  <c:v>4017.8107605828</c:v>
                </c:pt>
                <c:pt idx="88">
                  <c:v>4063.8218923072</c:v>
                </c:pt>
                <c:pt idx="89">
                  <c:v>4109.8330240315991</c:v>
                </c:pt>
                <c:pt idx="90">
                  <c:v>4155.8441557559991</c:v>
                </c:pt>
                <c:pt idx="91">
                  <c:v>4201.8552874804</c:v>
                </c:pt>
                <c:pt idx="92">
                  <c:v>4247.8664192048018</c:v>
                </c:pt>
                <c:pt idx="93">
                  <c:v>4293.8775509292</c:v>
                </c:pt>
                <c:pt idx="94">
                  <c:v>4339.8886826536009</c:v>
                </c:pt>
                <c:pt idx="95">
                  <c:v>4385.8998143779991</c:v>
                </c:pt>
                <c:pt idx="96">
                  <c:v>4431.9109461024</c:v>
                </c:pt>
                <c:pt idx="97">
                  <c:v>4477.9220778268</c:v>
                </c:pt>
                <c:pt idx="98">
                  <c:v>4523.9332095512</c:v>
                </c:pt>
                <c:pt idx="99">
                  <c:v>4569.9443412756</c:v>
                </c:pt>
                <c:pt idx="100">
                  <c:v>4615.9554730000009</c:v>
                </c:pt>
              </c:numCache>
            </c:numRef>
          </c:xVal>
          <c:yVal>
            <c:numRef>
              <c:f>'C3'!$BI$14:$BI$1013</c:f>
              <c:numCache>
                <c:formatCode>General</c:formatCode>
                <c:ptCount val="1000"/>
                <c:pt idx="0">
                  <c:v>5.5779564294913335</c:v>
                </c:pt>
                <c:pt idx="1">
                  <c:v>5.8475587523334749</c:v>
                </c:pt>
                <c:pt idx="2">
                  <c:v>6.1217561435651682</c:v>
                </c:pt>
                <c:pt idx="3">
                  <c:v>6.4001518649301774</c:v>
                </c:pt>
                <c:pt idx="4">
                  <c:v>6.6823572420481234</c:v>
                </c:pt>
                <c:pt idx="5">
                  <c:v>6.967991664414483</c:v>
                </c:pt>
                <c:pt idx="6">
                  <c:v>7.256682585400589</c:v>
                </c:pt>
                <c:pt idx="7">
                  <c:v>7.5480655222536308</c:v>
                </c:pt>
                <c:pt idx="8">
                  <c:v>7.8417840560966514</c:v>
                </c:pt>
                <c:pt idx="9">
                  <c:v>8.1374898319285567</c:v>
                </c:pt>
                <c:pt idx="10">
                  <c:v>8.434842558624096</c:v>
                </c:pt>
                <c:pt idx="11">
                  <c:v>8.7335100089338891</c:v>
                </c:pt>
                <c:pt idx="12">
                  <c:v>9.0331680194844033</c:v>
                </c:pt>
                <c:pt idx="13">
                  <c:v>9.3335004907779613</c:v>
                </c:pt>
                <c:pt idx="14">
                  <c:v>9.6341993871927425</c:v>
                </c:pt>
                <c:pt idx="15">
                  <c:v>9.9349647369827832</c:v>
                </c:pt>
                <c:pt idx="16">
                  <c:v>10.235504632277985</c:v>
                </c:pt>
                <c:pt idx="17">
                  <c:v>10.535535229084084</c:v>
                </c:pt>
                <c:pt idx="18">
                  <c:v>10.834780747282693</c:v>
                </c:pt>
                <c:pt idx="19">
                  <c:v>11.132973470631271</c:v>
                </c:pt>
                <c:pt idx="20">
                  <c:v>11.429853746763131</c:v>
                </c:pt>
                <c:pt idx="21">
                  <c:v>11.725169987187449</c:v>
                </c:pt>
                <c:pt idx="22">
                  <c:v>12.018678667289251</c:v>
                </c:pt>
                <c:pt idx="23">
                  <c:v>12.310144326329427</c:v>
                </c:pt>
                <c:pt idx="24">
                  <c:v>12.59933956744471</c:v>
                </c:pt>
                <c:pt idx="25">
                  <c:v>12.886045057647701</c:v>
                </c:pt>
                <c:pt idx="26">
                  <c:v>13.170049527826849</c:v>
                </c:pt>
                <c:pt idx="27">
                  <c:v>13.451149772746467</c:v>
                </c:pt>
                <c:pt idx="28">
                  <c:v>13.729150651046711</c:v>
                </c:pt>
                <c:pt idx="29">
                  <c:v>14.003865085243607</c:v>
                </c:pt>
                <c:pt idx="30">
                  <c:v>14.275114061729033</c:v>
                </c:pt>
                <c:pt idx="31">
                  <c:v>14.542726630770721</c:v>
                </c:pt>
                <c:pt idx="32">
                  <c:v>14.806539906512253</c:v>
                </c:pt>
                <c:pt idx="33">
                  <c:v>15.066399066973077</c:v>
                </c:pt>
                <c:pt idx="34">
                  <c:v>15.322157354048493</c:v>
                </c:pt>
                <c:pt idx="35">
                  <c:v>15.573676073509656</c:v>
                </c:pt>
                <c:pt idx="36">
                  <c:v>15.820824595003582</c:v>
                </c:pt>
                <c:pt idx="37">
                  <c:v>16.063480352053134</c:v>
                </c:pt>
                <c:pt idx="38">
                  <c:v>16.301528842057039</c:v>
                </c:pt>
                <c:pt idx="39">
                  <c:v>16.534863626289873</c:v>
                </c:pt>
                <c:pt idx="40">
                  <c:v>16.763386329902072</c:v>
                </c:pt>
                <c:pt idx="41">
                  <c:v>16.987006641919937</c:v>
                </c:pt>
                <c:pt idx="42">
                  <c:v>17.205642315245598</c:v>
                </c:pt>
                <c:pt idx="43">
                  <c:v>17.419219166657083</c:v>
                </c:pt>
                <c:pt idx="44">
                  <c:v>17.627671076808223</c:v>
                </c:pt>
                <c:pt idx="45">
                  <c:v>17.83093999022876</c:v>
                </c:pt>
                <c:pt idx="46">
                  <c:v>18.028975915324249</c:v>
                </c:pt>
                <c:pt idx="47">
                  <c:v>18.22173692437612</c:v>
                </c:pt>
                <c:pt idx="48">
                  <c:v>18.409189153541664</c:v>
                </c:pt>
                <c:pt idx="49">
                  <c:v>18.591306802854017</c:v>
                </c:pt>
                <c:pt idx="50">
                  <c:v>18.768072136222173</c:v>
                </c:pt>
                <c:pt idx="51">
                  <c:v>18.939475481430986</c:v>
                </c:pt>
                <c:pt idx="52">
                  <c:v>19.105515230141155</c:v>
                </c:pt>
                <c:pt idx="53">
                  <c:v>19.266197837889255</c:v>
                </c:pt>
                <c:pt idx="54">
                  <c:v>19.421537824087693</c:v>
                </c:pt>
                <c:pt idx="55">
                  <c:v>19.571557772024754</c:v>
                </c:pt>
                <c:pt idx="56">
                  <c:v>19.716288328864572</c:v>
                </c:pt>
                <c:pt idx="57">
                  <c:v>19.855768205647127</c:v>
                </c:pt>
                <c:pt idx="58">
                  <c:v>19.990044177288258</c:v>
                </c:pt>
                <c:pt idx="59">
                  <c:v>20.119171082579676</c:v>
                </c:pt>
                <c:pt idx="60">
                  <c:v>20.243211824188929</c:v>
                </c:pt>
                <c:pt idx="61">
                  <c:v>20.362237368659425</c:v>
                </c:pt>
                <c:pt idx="62">
                  <c:v>20.476326746410443</c:v>
                </c:pt>
                <c:pt idx="63">
                  <c:v>20.58556705173709</c:v>
                </c:pt>
                <c:pt idx="64">
                  <c:v>20.690053442810356</c:v>
                </c:pt>
                <c:pt idx="65">
                  <c:v>20.789889141677076</c:v>
                </c:pt>
                <c:pt idx="66">
                  <c:v>20.885185434259935</c:v>
                </c:pt>
                <c:pt idx="67">
                  <c:v>20.976061670357492</c:v>
                </c:pt>
                <c:pt idx="68">
                  <c:v>21.062645263644132</c:v>
                </c:pt>
                <c:pt idx="69">
                  <c:v>21.145071691670122</c:v>
                </c:pt>
                <c:pt idx="70">
                  <c:v>21.223484495861587</c:v>
                </c:pt>
                <c:pt idx="71">
                  <c:v>21.298035281520473</c:v>
                </c:pt>
                <c:pt idx="72">
                  <c:v>21.368883717824641</c:v>
                </c:pt>
                <c:pt idx="73">
                  <c:v>21.436197537827734</c:v>
                </c:pt>
                <c:pt idx="74">
                  <c:v>21.500152538459332</c:v>
                </c:pt>
                <c:pt idx="75">
                  <c:v>21.560932580524803</c:v>
                </c:pt>
                <c:pt idx="76">
                  <c:v>21.618729588705403</c:v>
                </c:pt>
                <c:pt idx="77">
                  <c:v>21.673743551558239</c:v>
                </c:pt>
                <c:pt idx="78">
                  <c:v>21.726182521516268</c:v>
                </c:pt>
                <c:pt idx="79">
                  <c:v>21.776262614888324</c:v>
                </c:pt>
                <c:pt idx="80">
                  <c:v>21.824208011859056</c:v>
                </c:pt>
                <c:pt idx="81">
                  <c:v>21.870250956489031</c:v>
                </c:pt>
                <c:pt idx="82">
                  <c:v>21.914631756714609</c:v>
                </c:pt>
                <c:pt idx="83">
                  <c:v>21.957598784348026</c:v>
                </c:pt>
                <c:pt idx="84">
                  <c:v>21.999408475077406</c:v>
                </c:pt>
                <c:pt idx="85">
                  <c:v>22.040325328466682</c:v>
                </c:pt>
                <c:pt idx="86">
                  <c:v>22.080621907955674</c:v>
                </c:pt>
                <c:pt idx="87">
                  <c:v>22.120578840860045</c:v>
                </c:pt>
                <c:pt idx="88">
                  <c:v>22.160484818371316</c:v>
                </c:pt>
                <c:pt idx="89">
                  <c:v>22.200636595556883</c:v>
                </c:pt>
                <c:pt idx="90">
                  <c:v>22.241338991359939</c:v>
                </c:pt>
                <c:pt idx="91">
                  <c:v>22.282904888599617</c:v>
                </c:pt>
                <c:pt idx="92">
                  <c:v>22.325655233970839</c:v>
                </c:pt>
                <c:pt idx="93">
                  <c:v>22.369919038044419</c:v>
                </c:pt>
                <c:pt idx="94">
                  <c:v>22.416033375267009</c:v>
                </c:pt>
                <c:pt idx="95">
                  <c:v>22.464343383961111</c:v>
                </c:pt>
                <c:pt idx="96">
                  <c:v>22.515202266325122</c:v>
                </c:pt>
                <c:pt idx="97">
                  <c:v>22.568971288433264</c:v>
                </c:pt>
                <c:pt idx="98">
                  <c:v>22.626019780235584</c:v>
                </c:pt>
                <c:pt idx="99">
                  <c:v>22.686725135558053</c:v>
                </c:pt>
                <c:pt idx="100">
                  <c:v>22.751472812102442</c:v>
                </c:pt>
              </c:numCache>
            </c:numRef>
          </c:yVal>
          <c:smooth val="0"/>
          <c:extLst>
            <c:ext xmlns:c16="http://schemas.microsoft.com/office/drawing/2014/chart" uri="{C3380CC4-5D6E-409C-BE32-E72D297353CC}">
              <c16:uniqueId val="{00000000-0F7A-42B2-BD64-59D523FCA029}"/>
            </c:ext>
          </c:extLst>
        </c:ser>
        <c:ser>
          <c:idx val="1"/>
          <c:order val="1"/>
          <c:tx>
            <c:v>サンプルデータ</c:v>
          </c:tx>
          <c:spPr>
            <a:ln w="19050" cap="rnd">
              <a:noFill/>
              <a:round/>
            </a:ln>
            <a:effectLst/>
          </c:spPr>
          <c:marker>
            <c:symbol val="circle"/>
            <c:size val="8"/>
            <c:spPr>
              <a:noFill/>
              <a:ln w="9525">
                <a:solidFill>
                  <a:schemeClr val="accent1"/>
                </a:solidFill>
              </a:ln>
              <a:effectLst/>
            </c:spPr>
          </c:marker>
          <c:xVal>
            <c:numRef>
              <c:f>'C3'!$BQ$14:$BQ$1013</c:f>
              <c:numCache>
                <c:formatCode>General</c:formatCode>
                <c:ptCount val="1000"/>
                <c:pt idx="0">
                  <c:v>14.842300559999998</c:v>
                </c:pt>
                <c:pt idx="1">
                  <c:v>126.15955470000002</c:v>
                </c:pt>
                <c:pt idx="2">
                  <c:v>267.16140999999999</c:v>
                </c:pt>
                <c:pt idx="3">
                  <c:v>385.89981449999999</c:v>
                </c:pt>
                <c:pt idx="4">
                  <c:v>526.90166980000004</c:v>
                </c:pt>
                <c:pt idx="5">
                  <c:v>675.32467529999997</c:v>
                </c:pt>
                <c:pt idx="6">
                  <c:v>816.32653059999996</c:v>
                </c:pt>
                <c:pt idx="7">
                  <c:v>979.59183670000016</c:v>
                </c:pt>
                <c:pt idx="8">
                  <c:v>1105.7513910000002</c:v>
                </c:pt>
                <c:pt idx="9">
                  <c:v>1269.0166979999999</c:v>
                </c:pt>
                <c:pt idx="10">
                  <c:v>1461.9666050000003</c:v>
                </c:pt>
                <c:pt idx="11">
                  <c:v>1632.653061</c:v>
                </c:pt>
                <c:pt idx="12">
                  <c:v>1803.3395179999998</c:v>
                </c:pt>
                <c:pt idx="13">
                  <c:v>1966.6048240000002</c:v>
                </c:pt>
                <c:pt idx="14">
                  <c:v>2159.5547310000002</c:v>
                </c:pt>
                <c:pt idx="15">
                  <c:v>2322.8200370000004</c:v>
                </c:pt>
                <c:pt idx="16">
                  <c:v>2463.8218919999999</c:v>
                </c:pt>
                <c:pt idx="17">
                  <c:v>2589.9814470000001</c:v>
                </c:pt>
                <c:pt idx="18">
                  <c:v>2701.2987010000006</c:v>
                </c:pt>
                <c:pt idx="19">
                  <c:v>2812.6159550000007</c:v>
                </c:pt>
                <c:pt idx="20">
                  <c:v>2961.0389610000007</c:v>
                </c:pt>
                <c:pt idx="21">
                  <c:v>3116.8831170000003</c:v>
                </c:pt>
                <c:pt idx="22">
                  <c:v>3287.5695730000007</c:v>
                </c:pt>
                <c:pt idx="23">
                  <c:v>3480.5194810000003</c:v>
                </c:pt>
                <c:pt idx="24">
                  <c:v>3643.7847869999991</c:v>
                </c:pt>
                <c:pt idx="25">
                  <c:v>3784.7866420000005</c:v>
                </c:pt>
                <c:pt idx="26">
                  <c:v>3955.4730979999995</c:v>
                </c:pt>
                <c:pt idx="27">
                  <c:v>4141.0018550000004</c:v>
                </c:pt>
                <c:pt idx="28">
                  <c:v>4267.1614100000006</c:v>
                </c:pt>
                <c:pt idx="29">
                  <c:v>4408.163265000002</c:v>
                </c:pt>
                <c:pt idx="30">
                  <c:v>4541.7439700000004</c:v>
                </c:pt>
                <c:pt idx="31">
                  <c:v>4615.9554730000009</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'C3'!$BP$14:$BP$1013</c:f>
              <c:numCache>
                <c:formatCode>General</c:formatCode>
                <c:ptCount val="1000"/>
                <c:pt idx="0">
                  <c:v>5.6744186049999996</c:v>
                </c:pt>
                <c:pt idx="1">
                  <c:v>6.2325581400000001</c:v>
                </c:pt>
                <c:pt idx="2">
                  <c:v>7.1627906979999993</c:v>
                </c:pt>
                <c:pt idx="3">
                  <c:v>7.6279069769999994</c:v>
                </c:pt>
                <c:pt idx="4">
                  <c:v>8.7441860470000012</c:v>
                </c:pt>
                <c:pt idx="5">
                  <c:v>9.7674418599999999</c:v>
                </c:pt>
                <c:pt idx="6">
                  <c:v>10.69767442</c:v>
                </c:pt>
                <c:pt idx="7">
                  <c:v>11.627906980000001</c:v>
                </c:pt>
                <c:pt idx="8">
                  <c:v>12.651162790000001</c:v>
                </c:pt>
                <c:pt idx="9">
                  <c:v>13.488372089999999</c:v>
                </c:pt>
                <c:pt idx="10">
                  <c:v>14.604651159999996</c:v>
                </c:pt>
                <c:pt idx="11">
                  <c:v>15.627906980000001</c:v>
                </c:pt>
                <c:pt idx="12">
                  <c:v>16.744186049999996</c:v>
                </c:pt>
                <c:pt idx="13">
                  <c:v>17.302325580000002</c:v>
                </c:pt>
                <c:pt idx="14">
                  <c:v>18.139534879999999</c:v>
                </c:pt>
                <c:pt idx="15">
                  <c:v>18.790697670000004</c:v>
                </c:pt>
                <c:pt idx="16">
                  <c:v>19.069767440000003</c:v>
                </c:pt>
                <c:pt idx="17">
                  <c:v>19.813953489999999</c:v>
                </c:pt>
                <c:pt idx="18">
                  <c:v>20.093023259999999</c:v>
                </c:pt>
                <c:pt idx="19">
                  <c:v>20.279069769999996</c:v>
                </c:pt>
                <c:pt idx="20">
                  <c:v>20.651162790000001</c:v>
                </c:pt>
                <c:pt idx="21">
                  <c:v>21.023255809999998</c:v>
                </c:pt>
                <c:pt idx="22">
                  <c:v>21.302325580000002</c:v>
                </c:pt>
                <c:pt idx="23">
                  <c:v>21.488372089999995</c:v>
                </c:pt>
                <c:pt idx="24">
                  <c:v>21.767441860000002</c:v>
                </c:pt>
                <c:pt idx="25">
                  <c:v>21.953488369999999</c:v>
                </c:pt>
                <c:pt idx="26">
                  <c:v>22.139534879999996</c:v>
                </c:pt>
                <c:pt idx="27">
                  <c:v>22.232558139999998</c:v>
                </c:pt>
                <c:pt idx="28">
                  <c:v>22.325581400000001</c:v>
                </c:pt>
                <c:pt idx="29">
                  <c:v>22.604651159999996</c:v>
                </c:pt>
                <c:pt idx="30">
                  <c:v>22.697674419999998</c:v>
                </c:pt>
                <c:pt idx="31">
                  <c:v>22.604651159999996</c:v>
                </c:pt>
              </c:numCache>
            </c:numRef>
          </c:yVal>
          <c:smooth val="0"/>
          <c:extLst>
            <c:ext xmlns:c16="http://schemas.microsoft.com/office/drawing/2014/chart" uri="{C3380CC4-5D6E-409C-BE32-E72D297353CC}">
              <c16:uniqueId val="{00000001-0F7A-42B2-BD64-59D523FCA029}"/>
            </c:ext>
          </c:extLst>
        </c:ser>
        <c:dLbls>
          <c:showLegendKey val="0"/>
          <c:showVal val="0"/>
          <c:showCatName val="0"/>
          <c:showSerName val="0"/>
          <c:showPercent val="0"/>
          <c:showBubbleSize val="0"/>
        </c:dLbls>
        <c:axId val="1866239839"/>
        <c:axId val="170578446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strRef>
              <c:f>'C3'!$BJ$13</c:f>
              <c:strCache>
                <c:ptCount val="1"/>
                <c:pt idx="0">
                  <c:v>L/s</c:v>
                </c:pt>
              </c:strCache>
            </c:strRef>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strRef>
              <c:f>'C3'!$BI$13</c:f>
              <c:strCache>
                <c:ptCount val="1"/>
                <c:pt idx="0">
                  <c:v>kW</c:v>
                </c:pt>
              </c:strCache>
            </c:strRef>
          </c:tx>
          <c:layout>
            <c:manualLayout>
              <c:xMode val="edge"/>
              <c:yMode val="edge"/>
              <c:x val="2.4939783761597713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spPr>
        <a:solidFill>
          <a:schemeClr val="bg1"/>
        </a:solidFill>
        <a:ln>
          <a:noFill/>
        </a:ln>
        <a:effectLst/>
      </c:spPr>
    </c:plotArea>
    <c:legend>
      <c:legendPos val="t"/>
      <c:layout>
        <c:manualLayout>
          <c:xMode val="edge"/>
          <c:yMode val="edge"/>
          <c:x val="0.16394802501539163"/>
          <c:y val="8.23045267489712E-3"/>
          <c:w val="0.76966490299823631"/>
          <c:h val="5.5555944395839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外挿区間</c:v>
          </c:tx>
          <c:spPr>
            <a:ln w="12700" cap="rnd">
              <a:solidFill>
                <a:schemeClr val="accent1"/>
              </a:solidFill>
              <a:prstDash val="sysDash"/>
              <a:round/>
            </a:ln>
            <a:effectLst/>
          </c:spPr>
          <c:marker>
            <c:symbol val="none"/>
          </c:marker>
          <c:xVal>
            <c:numRef>
              <c:f>D_3!$AR$15:$AR$1015</c:f>
              <c:numCache>
                <c:formatCode>General</c:formatCode>
                <c:ptCount val="1001"/>
                <c:pt idx="0">
                  <c:v>-6</c:v>
                </c:pt>
                <c:pt idx="1">
                  <c:v>-5.52</c:v>
                </c:pt>
                <c:pt idx="2">
                  <c:v>-5.04</c:v>
                </c:pt>
                <c:pt idx="3">
                  <c:v>-4.5600000000000005</c:v>
                </c:pt>
                <c:pt idx="4">
                  <c:v>-4.08</c:v>
                </c:pt>
                <c:pt idx="5">
                  <c:v>-3.5999999999999996</c:v>
                </c:pt>
                <c:pt idx="6">
                  <c:v>-3.120000000000001</c:v>
                </c:pt>
                <c:pt idx="7">
                  <c:v>-2.6400000000000006</c:v>
                </c:pt>
                <c:pt idx="8">
                  <c:v>-2.16</c:v>
                </c:pt>
                <c:pt idx="9">
                  <c:v>-1.6799999999999997</c:v>
                </c:pt>
                <c:pt idx="10">
                  <c:v>-1.1999999999999993</c:v>
                </c:pt>
                <c:pt idx="11">
                  <c:v>-0.72000000000000064</c:v>
                </c:pt>
                <c:pt idx="12">
                  <c:v>-0.24000000000000021</c:v>
                </c:pt>
                <c:pt idx="13">
                  <c:v>0.24000000000000021</c:v>
                </c:pt>
                <c:pt idx="14">
                  <c:v>0.71999999999999886</c:v>
                </c:pt>
                <c:pt idx="15">
                  <c:v>1.1999999999999993</c:v>
                </c:pt>
                <c:pt idx="16">
                  <c:v>1.6799999999999997</c:v>
                </c:pt>
                <c:pt idx="17">
                  <c:v>2.16</c:v>
                </c:pt>
                <c:pt idx="18">
                  <c:v>2.6400000000000006</c:v>
                </c:pt>
                <c:pt idx="19">
                  <c:v>3.1199999999999992</c:v>
                </c:pt>
                <c:pt idx="20">
                  <c:v>3.5999999999999996</c:v>
                </c:pt>
                <c:pt idx="21">
                  <c:v>4.0799999999999983</c:v>
                </c:pt>
                <c:pt idx="22">
                  <c:v>4.5599999999999987</c:v>
                </c:pt>
                <c:pt idx="23">
                  <c:v>5.0399999999999991</c:v>
                </c:pt>
                <c:pt idx="24">
                  <c:v>5.52</c:v>
                </c:pt>
                <c:pt idx="25">
                  <c:v>6</c:v>
                </c:pt>
                <c:pt idx="26">
                  <c:v>6.48</c:v>
                </c:pt>
                <c:pt idx="27">
                  <c:v>6.9600000000000009</c:v>
                </c:pt>
                <c:pt idx="28">
                  <c:v>7.4399999999999977</c:v>
                </c:pt>
                <c:pt idx="29">
                  <c:v>7.9200000000000017</c:v>
                </c:pt>
                <c:pt idx="30">
                  <c:v>8.3999999999999986</c:v>
                </c:pt>
                <c:pt idx="31">
                  <c:v>8.879999999999999</c:v>
                </c:pt>
                <c:pt idx="32">
                  <c:v>9.36</c:v>
                </c:pt>
                <c:pt idx="33">
                  <c:v>9.84</c:v>
                </c:pt>
                <c:pt idx="34">
                  <c:v>10.32</c:v>
                </c:pt>
                <c:pt idx="35">
                  <c:v>10.8</c:v>
                </c:pt>
                <c:pt idx="36">
                  <c:v>11.280000000000001</c:v>
                </c:pt>
                <c:pt idx="37">
                  <c:v>11.759999999999998</c:v>
                </c:pt>
                <c:pt idx="38">
                  <c:v>12.239999999999998</c:v>
                </c:pt>
                <c:pt idx="39">
                  <c:v>12.719999999999999</c:v>
                </c:pt>
                <c:pt idx="40">
                  <c:v>13.2</c:v>
                </c:pt>
                <c:pt idx="41">
                  <c:v>13.68</c:v>
                </c:pt>
                <c:pt idx="42">
                  <c:v>14.16</c:v>
                </c:pt>
                <c:pt idx="43">
                  <c:v>14.64</c:v>
                </c:pt>
                <c:pt idx="44">
                  <c:v>15.119999999999997</c:v>
                </c:pt>
                <c:pt idx="45">
                  <c:v>15.599999999999998</c:v>
                </c:pt>
                <c:pt idx="46">
                  <c:v>16.079999999999998</c:v>
                </c:pt>
                <c:pt idx="47">
                  <c:v>16.559999999999999</c:v>
                </c:pt>
                <c:pt idx="48">
                  <c:v>17.04</c:v>
                </c:pt>
                <c:pt idx="49">
                  <c:v>17.52</c:v>
                </c:pt>
                <c:pt idx="50">
                  <c:v>18</c:v>
                </c:pt>
                <c:pt idx="51">
                  <c:v>18.48</c:v>
                </c:pt>
                <c:pt idx="52">
                  <c:v>18.96</c:v>
                </c:pt>
                <c:pt idx="53">
                  <c:v>19.439999999999998</c:v>
                </c:pt>
                <c:pt idx="54">
                  <c:v>19.919999999999998</c:v>
                </c:pt>
                <c:pt idx="55">
                  <c:v>20.399999999999999</c:v>
                </c:pt>
                <c:pt idx="56">
                  <c:v>20.879999999999995</c:v>
                </c:pt>
                <c:pt idx="57">
                  <c:v>21.36</c:v>
                </c:pt>
                <c:pt idx="58">
                  <c:v>21.840000000000003</c:v>
                </c:pt>
                <c:pt idx="59">
                  <c:v>22.32</c:v>
                </c:pt>
                <c:pt idx="60">
                  <c:v>22.799999999999997</c:v>
                </c:pt>
                <c:pt idx="61">
                  <c:v>23.28</c:v>
                </c:pt>
                <c:pt idx="62">
                  <c:v>23.759999999999998</c:v>
                </c:pt>
                <c:pt idx="63">
                  <c:v>24.239999999999995</c:v>
                </c:pt>
                <c:pt idx="64">
                  <c:v>24.72</c:v>
                </c:pt>
                <c:pt idx="65">
                  <c:v>25.200000000000003</c:v>
                </c:pt>
                <c:pt idx="66">
                  <c:v>25.68</c:v>
                </c:pt>
                <c:pt idx="67">
                  <c:v>26.159999999999997</c:v>
                </c:pt>
                <c:pt idx="68">
                  <c:v>26.64</c:v>
                </c:pt>
                <c:pt idx="69">
                  <c:v>27.119999999999997</c:v>
                </c:pt>
                <c:pt idx="70">
                  <c:v>27.6</c:v>
                </c:pt>
                <c:pt idx="71">
                  <c:v>28.08</c:v>
                </c:pt>
                <c:pt idx="72">
                  <c:v>28.560000000000002</c:v>
                </c:pt>
                <c:pt idx="73">
                  <c:v>29.04</c:v>
                </c:pt>
                <c:pt idx="74">
                  <c:v>29.519999999999996</c:v>
                </c:pt>
                <c:pt idx="75">
                  <c:v>30</c:v>
                </c:pt>
                <c:pt idx="76">
                  <c:v>30.479999999999997</c:v>
                </c:pt>
                <c:pt idx="77">
                  <c:v>30.96</c:v>
                </c:pt>
                <c:pt idx="78">
                  <c:v>31.439999999999998</c:v>
                </c:pt>
                <c:pt idx="79">
                  <c:v>31.92</c:v>
                </c:pt>
                <c:pt idx="80">
                  <c:v>32.4</c:v>
                </c:pt>
                <c:pt idx="81">
                  <c:v>32.879999999999995</c:v>
                </c:pt>
                <c:pt idx="82">
                  <c:v>33.36</c:v>
                </c:pt>
                <c:pt idx="83">
                  <c:v>33.839999999999996</c:v>
                </c:pt>
                <c:pt idx="84">
                  <c:v>34.32</c:v>
                </c:pt>
                <c:pt idx="85">
                  <c:v>34.799999999999997</c:v>
                </c:pt>
                <c:pt idx="86">
                  <c:v>35.28</c:v>
                </c:pt>
                <c:pt idx="87">
                  <c:v>35.76</c:v>
                </c:pt>
                <c:pt idx="88">
                  <c:v>36.239999999999995</c:v>
                </c:pt>
                <c:pt idx="89">
                  <c:v>36.72</c:v>
                </c:pt>
                <c:pt idx="90">
                  <c:v>37.199999999999996</c:v>
                </c:pt>
                <c:pt idx="91">
                  <c:v>37.68</c:v>
                </c:pt>
                <c:pt idx="92">
                  <c:v>38.159999999999997</c:v>
                </c:pt>
                <c:pt idx="93">
                  <c:v>38.64</c:v>
                </c:pt>
                <c:pt idx="94">
                  <c:v>39.119999999999997</c:v>
                </c:pt>
                <c:pt idx="95">
                  <c:v>39.6</c:v>
                </c:pt>
                <c:pt idx="96">
                  <c:v>40.08</c:v>
                </c:pt>
                <c:pt idx="97">
                  <c:v>40.559999999999995</c:v>
                </c:pt>
                <c:pt idx="98">
                  <c:v>41.04</c:v>
                </c:pt>
                <c:pt idx="99">
                  <c:v>41.519999999999996</c:v>
                </c:pt>
                <c:pt idx="100">
                  <c:v>42</c:v>
                </c:pt>
              </c:numCache>
            </c:numRef>
          </c:xVal>
          <c:yVal>
            <c:numRef>
              <c:f>D_3!$AQ$15:$AQ$1015</c:f>
              <c:numCache>
                <c:formatCode>General</c:formatCode>
                <c:ptCount val="1001"/>
                <c:pt idx="0">
                  <c:v>-37986.311713406314</c:v>
                </c:pt>
                <c:pt idx="1">
                  <c:v>-35523.725419518851</c:v>
                </c:pt>
                <c:pt idx="2">
                  <c:v>-33150.088082354923</c:v>
                </c:pt>
                <c:pt idx="3">
                  <c:v>-30871.387789201584</c:v>
                </c:pt>
                <c:pt idx="4">
                  <c:v>-28692.996856196718</c:v>
                </c:pt>
                <c:pt idx="5">
                  <c:v>-26619.67182832901</c:v>
                </c:pt>
                <c:pt idx="6">
                  <c:v>-24655.553479437956</c:v>
                </c:pt>
                <c:pt idx="7">
                  <c:v>-22804.166812213858</c:v>
                </c:pt>
                <c:pt idx="8">
                  <c:v>-21068.421058197822</c:v>
                </c:pt>
                <c:pt idx="9">
                  <c:v>-19450.60967778178</c:v>
                </c:pt>
                <c:pt idx="10">
                  <c:v>-17952.410360208461</c:v>
                </c:pt>
                <c:pt idx="11">
                  <c:v>-16574.885023571413</c:v>
                </c:pt>
                <c:pt idx="12">
                  <c:v>-15318.479814814971</c:v>
                </c:pt>
                <c:pt idx="13">
                  <c:v>-14183.025109734304</c:v>
                </c:pt>
                <c:pt idx="14">
                  <c:v>-13167.735512975383</c:v>
                </c:pt>
                <c:pt idx="15">
                  <c:v>-12271.209858034978</c:v>
                </c:pt>
                <c:pt idx="16">
                  <c:v>-11491.431207260681</c:v>
                </c:pt>
                <c:pt idx="17">
                  <c:v>-10825.766851850887</c:v>
                </c:pt>
                <c:pt idx="18">
                  <c:v>-10270.968311854804</c:v>
                </c:pt>
                <c:pt idx="19">
                  <c:v>-9823.1713361724469</c:v>
                </c:pt>
                <c:pt idx="20">
                  <c:v>-9477.8959025546374</c:v>
                </c:pt>
                <c:pt idx="21">
                  <c:v>-9230.0462176030123</c:v>
                </c:pt>
                <c:pt idx="22">
                  <c:v>-9073.9107167700131</c:v>
                </c:pt>
                <c:pt idx="23">
                  <c:v>-9003.1620643588903</c:v>
                </c:pt>
                <c:pt idx="24">
                  <c:v>-9010.8571535237097</c:v>
                </c:pt>
                <c:pt idx="25">
                  <c:v>-9089.4371062693408</c:v>
                </c:pt>
                <c:pt idx="26">
                  <c:v>-9230.727273451459</c:v>
                </c:pt>
                <c:pt idx="27">
                  <c:v>-9425.937234776562</c:v>
                </c:pt>
                <c:pt idx="28">
                  <c:v>-9665.6607988019387</c:v>
                </c:pt>
                <c:pt idx="29">
                  <c:v>-9939.8760029357036</c:v>
                </c:pt>
                <c:pt idx="30">
                  <c:v>-10237.94511343677</c:v>
                </c:pt>
                <c:pt idx="31">
                  <c:v>-10548.614625414873</c:v>
                </c:pt>
                <c:pt idx="32">
                  <c:v>-10860.015262830533</c:v>
                </c:pt>
                <c:pt idx="33">
                  <c:v>-11159.661978495118</c:v>
                </c:pt>
                <c:pt idx="34">
                  <c:v>-11434.453954070759</c:v>
                </c:pt>
                <c:pt idx="35">
                  <c:v>-11670.67460007043</c:v>
                </c:pt>
                <c:pt idx="36">
                  <c:v>-11853.991555857901</c:v>
                </c:pt>
                <c:pt idx="37">
                  <c:v>-11969.456689647763</c:v>
                </c:pt>
                <c:pt idx="38">
                  <c:v>-12001.50609850539</c:v>
                </c:pt>
                <c:pt idx="39">
                  <c:v>-11933.960108347001</c:v>
                </c:pt>
                <c:pt idx="40">
                  <c:v>-11750.023273939591</c:v>
                </c:pt>
                <c:pt idx="41">
                  <c:v>-11432.284378900986</c:v>
                </c:pt>
                <c:pt idx="42">
                  <c:v>-10962.716435699829</c:v>
                </c:pt>
                <c:pt idx="43">
                  <c:v>-10322.67668565553</c:v>
                </c:pt>
                <c:pt idx="44">
                  <c:v>-9492.9065989383598</c:v>
                </c:pt>
                <c:pt idx="45">
                  <c:v>-8453.5318745693585</c:v>
                </c:pt>
                <c:pt idx="46">
                  <c:v>-7184.0624404203991</c:v>
                </c:pt>
                <c:pt idx="47">
                  <c:v>-5663.3924532141536</c:v>
                </c:pt>
                <c:pt idx="48">
                  <c:v>-3869.8002985240964</c:v>
                </c:pt>
                <c:pt idx="49">
                  <c:v>-1780.9485907745475</c:v>
                </c:pt>
                <c:pt idx="50">
                  <c:v>626.11582675940735</c:v>
                </c:pt>
                <c:pt idx="51">
                  <c:v>3374.9618819518582</c:v>
                </c:pt>
                <c:pt idx="52">
                  <c:v>6489.7742738260786</c:v>
                </c:pt>
                <c:pt idx="53">
                  <c:v>9995.3534725545178</c:v>
                </c:pt>
                <c:pt idx="54">
                  <c:v>13917.115719458881</c:v>
                </c:pt>
                <c:pt idx="55">
                  <c:v>18281.093027009985</c:v>
                </c:pt>
                <c:pt idx="56">
                  <c:v>23113.933178827872</c:v>
                </c:pt>
                <c:pt idx="57">
                  <c:v>28442.899729681834</c:v>
                </c:pt>
                <c:pt idx="58">
                  <c:v>34295.872005490244</c:v>
                </c:pt>
                <c:pt idx="59">
                  <c:v>40701.345103320637</c:v>
                </c:pt>
                <c:pt idx="60">
                  <c:v>47688.429891389911</c:v>
                </c:pt>
                <c:pt idx="61">
                  <c:v>55286.853009064158</c:v>
                </c:pt>
                <c:pt idx="62">
                  <c:v>63526.95686685828</c:v>
                </c:pt>
                <c:pt idx="63">
                  <c:v>72439.699646436886</c:v>
                </c:pt>
                <c:pt idx="64">
                  <c:v>82056.655300613565</c:v>
                </c:pt>
                <c:pt idx="65">
                  <c:v>92410.013553351033</c:v>
                </c:pt>
                <c:pt idx="66">
                  <c:v>103532.57989976107</c:v>
                </c:pt>
                <c:pt idx="67">
                  <c:v>115457.77560610491</c:v>
                </c:pt>
                <c:pt idx="68">
                  <c:v>128219.6377097931</c:v>
                </c:pt>
                <c:pt idx="69">
                  <c:v>141852.81901938468</c:v>
                </c:pt>
                <c:pt idx="70">
                  <c:v>156392.58811458905</c:v>
                </c:pt>
                <c:pt idx="71">
                  <c:v>171874.82934626337</c:v>
                </c:pt>
                <c:pt idx="72">
                  <c:v>188336.04283641541</c:v>
                </c:pt>
                <c:pt idx="73">
                  <c:v>205813.34447820089</c:v>
                </c:pt>
                <c:pt idx="74">
                  <c:v>224344.46593592537</c:v>
                </c:pt>
                <c:pt idx="75">
                  <c:v>243967.7546450441</c:v>
                </c:pt>
                <c:pt idx="76">
                  <c:v>264722.17381216015</c:v>
                </c:pt>
                <c:pt idx="77">
                  <c:v>286647.30241502722</c:v>
                </c:pt>
                <c:pt idx="78">
                  <c:v>309783.33520254702</c:v>
                </c:pt>
                <c:pt idx="79">
                  <c:v>334171.08269477152</c:v>
                </c:pt>
                <c:pt idx="80">
                  <c:v>359851.97118290066</c:v>
                </c:pt>
                <c:pt idx="81">
                  <c:v>386868.0427292845</c:v>
                </c:pt>
                <c:pt idx="82">
                  <c:v>415261.95516742259</c:v>
                </c:pt>
                <c:pt idx="83">
                  <c:v>445076.98210196255</c:v>
                </c:pt>
                <c:pt idx="84">
                  <c:v>476357.01290870196</c:v>
                </c:pt>
                <c:pt idx="85">
                  <c:v>509146.55273458693</c:v>
                </c:pt>
                <c:pt idx="86">
                  <c:v>543490.72249771422</c:v>
                </c:pt>
                <c:pt idx="87">
                  <c:v>579435.25888732763</c:v>
                </c:pt>
                <c:pt idx="88">
                  <c:v>617026.51436382195</c:v>
                </c:pt>
                <c:pt idx="89">
                  <c:v>656311.45715874073</c:v>
                </c:pt>
                <c:pt idx="90">
                  <c:v>697337.67127477599</c:v>
                </c:pt>
                <c:pt idx="91">
                  <c:v>740153.3564857702</c:v>
                </c:pt>
                <c:pt idx="92">
                  <c:v>784807.3283367129</c:v>
                </c:pt>
                <c:pt idx="93">
                  <c:v>831349.0181437456</c:v>
                </c:pt>
                <c:pt idx="94">
                  <c:v>879828.47299415641</c:v>
                </c:pt>
                <c:pt idx="95">
                  <c:v>930296.35574638529</c:v>
                </c:pt>
                <c:pt idx="96">
                  <c:v>982803.94503001799</c:v>
                </c:pt>
                <c:pt idx="97">
                  <c:v>1037403.1352457927</c:v>
                </c:pt>
                <c:pt idx="98">
                  <c:v>1094146.4365655959</c:v>
                </c:pt>
                <c:pt idx="99">
                  <c:v>1153086.9749324615</c:v>
                </c:pt>
                <c:pt idx="100">
                  <c:v>1214278.4920605747</c:v>
                </c:pt>
              </c:numCache>
            </c:numRef>
          </c:yVal>
          <c:smooth val="1"/>
          <c:extLst>
            <c:ext xmlns:c16="http://schemas.microsoft.com/office/drawing/2014/chart" uri="{C3380CC4-5D6E-409C-BE32-E72D297353CC}">
              <c16:uniqueId val="{00000000-7315-4AB4-92EC-7DD421F221B5}"/>
            </c:ext>
          </c:extLst>
        </c:ser>
        <c:ser>
          <c:idx val="1"/>
          <c:order val="1"/>
          <c:tx>
            <c:v>計算区間</c:v>
          </c:tx>
          <c:spPr>
            <a:ln w="19050" cap="rnd">
              <a:solidFill>
                <a:schemeClr val="accent2"/>
              </a:solidFill>
              <a:round/>
            </a:ln>
            <a:effectLst/>
          </c:spPr>
          <c:marker>
            <c:symbol val="none"/>
          </c:marker>
          <c:xVal>
            <c:numRef>
              <c:f>D_3!$AU$15:$AU$1015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D_3!$AT$15:$AT$1015</c:f>
              <c:numCache>
                <c:formatCode>General</c:formatCode>
                <c:ptCount val="1001"/>
                <c:pt idx="0">
                  <c:v>-9089.4371062693408</c:v>
                </c:pt>
                <c:pt idx="1">
                  <c:v>-9152.7783821878747</c:v>
                </c:pt>
                <c:pt idx="2">
                  <c:v>-9230.727273451459</c:v>
                </c:pt>
                <c:pt idx="3">
                  <c:v>-9322.1657346749962</c:v>
                </c:pt>
                <c:pt idx="4">
                  <c:v>-9425.9372347765584</c:v>
                </c:pt>
                <c:pt idx="5">
                  <c:v>-9540.8467569774002</c:v>
                </c:pt>
                <c:pt idx="6">
                  <c:v>-9665.6607988019387</c:v>
                </c:pt>
                <c:pt idx="7">
                  <c:v>-9799.1073720777822</c:v>
                </c:pt>
                <c:pt idx="8">
                  <c:v>-9939.8760029357018</c:v>
                </c:pt>
                <c:pt idx="9">
                  <c:v>-10086.61773180966</c:v>
                </c:pt>
                <c:pt idx="10">
                  <c:v>-10237.945113436772</c:v>
                </c:pt>
                <c:pt idx="11">
                  <c:v>-10392.432216857349</c:v>
                </c:pt>
                <c:pt idx="12">
                  <c:v>-10548.614625414873</c:v>
                </c:pt>
                <c:pt idx="13">
                  <c:v>-10704.989436755994</c:v>
                </c:pt>
                <c:pt idx="14">
                  <c:v>-10860.015262830533</c:v>
                </c:pt>
                <c:pt idx="15">
                  <c:v>-11012.112229891522</c:v>
                </c:pt>
                <c:pt idx="16">
                  <c:v>-11159.661978495118</c:v>
                </c:pt>
                <c:pt idx="17">
                  <c:v>-11301.007663500684</c:v>
                </c:pt>
                <c:pt idx="18">
                  <c:v>-11434.453954070759</c:v>
                </c:pt>
                <c:pt idx="19">
                  <c:v>-11558.267033671047</c:v>
                </c:pt>
                <c:pt idx="20">
                  <c:v>-11670.67460007043</c:v>
                </c:pt>
                <c:pt idx="21">
                  <c:v>-11769.865865340966</c:v>
                </c:pt>
                <c:pt idx="22">
                  <c:v>-11853.991555857898</c:v>
                </c:pt>
                <c:pt idx="23">
                  <c:v>-11921.163912299635</c:v>
                </c:pt>
                <c:pt idx="24">
                  <c:v>-11969.456689647763</c:v>
                </c:pt>
                <c:pt idx="25">
                  <c:v>-11996.905157187033</c:v>
                </c:pt>
                <c:pt idx="26">
                  <c:v>-12001.506098505386</c:v>
                </c:pt>
                <c:pt idx="27">
                  <c:v>-11981.217811493952</c:v>
                </c:pt>
                <c:pt idx="28">
                  <c:v>-11933.960108347001</c:v>
                </c:pt>
                <c:pt idx="29">
                  <c:v>-11857.614315562001</c:v>
                </c:pt>
                <c:pt idx="30">
                  <c:v>-11750.023273939591</c:v>
                </c:pt>
                <c:pt idx="31">
                  <c:v>-11608.99133858359</c:v>
                </c:pt>
                <c:pt idx="32">
                  <c:v>-11432.284378900986</c:v>
                </c:pt>
                <c:pt idx="33">
                  <c:v>-11217.629778601957</c:v>
                </c:pt>
                <c:pt idx="34">
                  <c:v>-10962.716435699829</c:v>
                </c:pt>
                <c:pt idx="35">
                  <c:v>-10665.194762511124</c:v>
                </c:pt>
                <c:pt idx="36">
                  <c:v>-10322.67668565553</c:v>
                </c:pt>
                <c:pt idx="37">
                  <c:v>-9932.7356460559276</c:v>
                </c:pt>
                <c:pt idx="38">
                  <c:v>-9492.9065989383525</c:v>
                </c:pt>
                <c:pt idx="39">
                  <c:v>-9000.6860138320371</c:v>
                </c:pt>
                <c:pt idx="40">
                  <c:v>-8453.5318745693585</c:v>
                </c:pt>
                <c:pt idx="41">
                  <c:v>-7848.8636792858888</c:v>
                </c:pt>
                <c:pt idx="42">
                  <c:v>-7184.0624404203991</c:v>
                </c:pt>
                <c:pt idx="43">
                  <c:v>-6456.4706847147827</c:v>
                </c:pt>
                <c:pt idx="44">
                  <c:v>-5663.3924532141536</c:v>
                </c:pt>
                <c:pt idx="45">
                  <c:v>-4802.0933012667811</c:v>
                </c:pt>
                <c:pt idx="46">
                  <c:v>-3869.8002985240964</c:v>
                </c:pt>
                <c:pt idx="47">
                  <c:v>-2863.7020289407519</c:v>
                </c:pt>
                <c:pt idx="48">
                  <c:v>-1780.9485907745475</c:v>
                </c:pt>
                <c:pt idx="49">
                  <c:v>-618.65159658646007</c:v>
                </c:pt>
                <c:pt idx="50">
                  <c:v>626.11582675940735</c:v>
                </c:pt>
                <c:pt idx="51">
                  <c:v>1956.3190380956803</c:v>
                </c:pt>
                <c:pt idx="52">
                  <c:v>3374.9618819518582</c:v>
                </c:pt>
                <c:pt idx="53">
                  <c:v>4885.0866885542709</c:v>
                </c:pt>
                <c:pt idx="54">
                  <c:v>6489.7742738260786</c:v>
                </c:pt>
                <c:pt idx="55">
                  <c:v>8192.1439393872206</c:v>
                </c:pt>
                <c:pt idx="56">
                  <c:v>9995.3534725545178</c:v>
                </c:pt>
                <c:pt idx="57">
                  <c:v>11902.599146341599</c:v>
                </c:pt>
                <c:pt idx="58">
                  <c:v>13917.115719458903</c:v>
                </c:pt>
                <c:pt idx="59">
                  <c:v>16042.176436313654</c:v>
                </c:pt>
                <c:pt idx="60">
                  <c:v>18281.093027009985</c:v>
                </c:pt>
                <c:pt idx="61">
                  <c:v>20637.215707348842</c:v>
                </c:pt>
                <c:pt idx="62">
                  <c:v>23113.933178827894</c:v>
                </c:pt>
                <c:pt idx="63">
                  <c:v>25714.672628641732</c:v>
                </c:pt>
                <c:pt idx="64">
                  <c:v>28442.899729681834</c:v>
                </c:pt>
                <c:pt idx="65">
                  <c:v>31302.118640536319</c:v>
                </c:pt>
                <c:pt idx="66">
                  <c:v>34295.872005490193</c:v>
                </c:pt>
                <c:pt idx="67">
                  <c:v>37427.74095452542</c:v>
                </c:pt>
                <c:pt idx="68">
                  <c:v>40701.345103320637</c:v>
                </c:pt>
                <c:pt idx="69">
                  <c:v>44120.342553251372</c:v>
                </c:pt>
                <c:pt idx="70">
                  <c:v>47688.429891389977</c:v>
                </c:pt>
                <c:pt idx="71">
                  <c:v>51409.342190505529</c:v>
                </c:pt>
                <c:pt idx="72">
                  <c:v>55286.853009064158</c:v>
                </c:pt>
                <c:pt idx="73">
                  <c:v>59324.774391228464</c:v>
                </c:pt>
                <c:pt idx="74">
                  <c:v>63526.95686685828</c:v>
                </c:pt>
                <c:pt idx="75">
                  <c:v>67897.289451510049</c:v>
                </c:pt>
                <c:pt idx="76">
                  <c:v>72439.699646436929</c:v>
                </c:pt>
                <c:pt idx="77">
                  <c:v>77158.153438589186</c:v>
                </c:pt>
                <c:pt idx="78">
                  <c:v>82056.655300613565</c:v>
                </c:pt>
                <c:pt idx="79">
                  <c:v>87139.248190853992</c:v>
                </c:pt>
                <c:pt idx="80">
                  <c:v>92410.013553350946</c:v>
                </c:pt>
                <c:pt idx="81">
                  <c:v>97873.071317841823</c:v>
                </c:pt>
                <c:pt idx="82">
                  <c:v>103532.57989976107</c:v>
                </c:pt>
                <c:pt idx="83">
                  <c:v>109392.73620023941</c:v>
                </c:pt>
                <c:pt idx="84">
                  <c:v>115457.77560610494</c:v>
                </c:pt>
                <c:pt idx="85">
                  <c:v>121731.97198988231</c:v>
                </c:pt>
                <c:pt idx="86">
                  <c:v>128219.6377097931</c:v>
                </c:pt>
                <c:pt idx="87">
                  <c:v>134925.12360975548</c:v>
                </c:pt>
                <c:pt idx="88">
                  <c:v>141852.81901938468</c:v>
                </c:pt>
                <c:pt idx="89">
                  <c:v>149007.15175399306</c:v>
                </c:pt>
                <c:pt idx="90">
                  <c:v>156392.58811458887</c:v>
                </c:pt>
                <c:pt idx="91">
                  <c:v>164013.63288787828</c:v>
                </c:pt>
                <c:pt idx="92">
                  <c:v>171874.82934626337</c:v>
                </c:pt>
                <c:pt idx="93">
                  <c:v>179980.75924784376</c:v>
                </c:pt>
                <c:pt idx="94">
                  <c:v>188336.04283641535</c:v>
                </c:pt>
                <c:pt idx="95">
                  <c:v>196945.33884147118</c:v>
                </c:pt>
                <c:pt idx="96">
                  <c:v>205813.34447820089</c:v>
                </c:pt>
                <c:pt idx="97">
                  <c:v>214944.79544749117</c:v>
                </c:pt>
                <c:pt idx="98">
                  <c:v>224344.4659359256</c:v>
                </c:pt>
                <c:pt idx="99">
                  <c:v>234017.16861578409</c:v>
                </c:pt>
                <c:pt idx="100">
                  <c:v>243967.7546450441</c:v>
                </c:pt>
              </c:numCache>
            </c:numRef>
          </c:yVal>
          <c:smooth val="1"/>
          <c:extLst>
            <c:ext xmlns:c16="http://schemas.microsoft.com/office/drawing/2014/chart" uri="{C3380CC4-5D6E-409C-BE32-E72D297353CC}">
              <c16:uniqueId val="{00000001-7315-4AB4-92EC-7DD421F221B5}"/>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tx>
            <c:v>計算区間</c:v>
          </c:tx>
          <c:spPr>
            <a:ln w="19050" cap="rnd">
              <a:solidFill>
                <a:schemeClr val="accent2"/>
              </a:solidFill>
              <a:round/>
            </a:ln>
            <a:effectLst/>
          </c:spPr>
          <c:marker>
            <c:symbol val="none"/>
          </c:marker>
          <c:xVal>
            <c:numRef>
              <c:f>D_4!$AU$15:$AU$1015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D_4!$AT$15:$AT$1015</c:f>
              <c:numCache>
                <c:formatCode>General</c:formatCode>
                <c:ptCount val="1001"/>
                <c:pt idx="0">
                  <c:v>-26510.838935248816</c:v>
                </c:pt>
                <c:pt idx="1">
                  <c:v>-26203.329152651473</c:v>
                </c:pt>
                <c:pt idx="2">
                  <c:v>-25925.959053276318</c:v>
                </c:pt>
                <c:pt idx="3">
                  <c:v>-25677.577866931824</c:v>
                </c:pt>
                <c:pt idx="4">
                  <c:v>-25456.996337729644</c:v>
                </c:pt>
                <c:pt idx="5">
                  <c:v>-25262.986724084622</c:v>
                </c:pt>
                <c:pt idx="6">
                  <c:v>-25094.282798714758</c:v>
                </c:pt>
                <c:pt idx="7">
                  <c:v>-24949.579848641231</c:v>
                </c:pt>
                <c:pt idx="8">
                  <c:v>-24827.53467518841</c:v>
                </c:pt>
                <c:pt idx="9">
                  <c:v>-24726.765593983822</c:v>
                </c:pt>
                <c:pt idx="10">
                  <c:v>-24645.852434958182</c:v>
                </c:pt>
                <c:pt idx="11">
                  <c:v>-24583.336542345369</c:v>
                </c:pt>
                <c:pt idx="12">
                  <c:v>-24537.720774682461</c:v>
                </c:pt>
                <c:pt idx="13">
                  <c:v>-24507.469504809669</c:v>
                </c:pt>
                <c:pt idx="14">
                  <c:v>-24491.008619870416</c:v>
                </c:pt>
                <c:pt idx="15">
                  <c:v>-24486.725521311309</c:v>
                </c:pt>
                <c:pt idx="16">
                  <c:v>-24492.969124882082</c:v>
                </c:pt>
                <c:pt idx="17">
                  <c:v>-24508.049860635685</c:v>
                </c:pt>
                <c:pt idx="18">
                  <c:v>-24530.239672928241</c:v>
                </c:pt>
                <c:pt idx="19">
                  <c:v>-24557.772020419034</c:v>
                </c:pt>
                <c:pt idx="20">
                  <c:v>-24588.841876070532</c:v>
                </c:pt>
                <c:pt idx="21">
                  <c:v>-24621.605727148366</c:v>
                </c:pt>
                <c:pt idx="22">
                  <c:v>-24654.181575221373</c:v>
                </c:pt>
                <c:pt idx="23">
                  <c:v>-24684.648936161524</c:v>
                </c:pt>
                <c:pt idx="24">
                  <c:v>-24711.048840144002</c:v>
                </c:pt>
                <c:pt idx="25">
                  <c:v>-24731.383831647152</c:v>
                </c:pt>
                <c:pt idx="26">
                  <c:v>-24743.617969452476</c:v>
                </c:pt>
                <c:pt idx="27">
                  <c:v>-24745.676826644682</c:v>
                </c:pt>
                <c:pt idx="28">
                  <c:v>-24735.447490611645</c:v>
                </c:pt>
                <c:pt idx="29">
                  <c:v>-24710.778563044405</c:v>
                </c:pt>
                <c:pt idx="30">
                  <c:v>-24669.480159937171</c:v>
                </c:pt>
                <c:pt idx="31">
                  <c:v>-24609.323911587366</c:v>
                </c:pt>
                <c:pt idx="32">
                  <c:v>-24528.042962595537</c:v>
                </c:pt>
                <c:pt idx="33">
                  <c:v>-24423.33197186546</c:v>
                </c:pt>
                <c:pt idx="34">
                  <c:v>-24292.847112604046</c:v>
                </c:pt>
                <c:pt idx="35">
                  <c:v>-24134.20607232138</c:v>
                </c:pt>
                <c:pt idx="36">
                  <c:v>-23944.988052830748</c:v>
                </c:pt>
                <c:pt idx="37">
                  <c:v>-23722.733770248604</c:v>
                </c:pt>
                <c:pt idx="38">
                  <c:v>-23464.945454994573</c:v>
                </c:pt>
                <c:pt idx="39">
                  <c:v>-23169.086851791457</c:v>
                </c:pt>
                <c:pt idx="40">
                  <c:v>-22832.583219665241</c:v>
                </c:pt>
                <c:pt idx="41">
                  <c:v>-22452.821331945066</c:v>
                </c:pt>
                <c:pt idx="42">
                  <c:v>-22027.149476263257</c:v>
                </c:pt>
                <c:pt idx="43">
                  <c:v>-21552.877454555324</c:v>
                </c:pt>
                <c:pt idx="44">
                  <c:v>-21027.27658305996</c:v>
                </c:pt>
                <c:pt idx="45">
                  <c:v>-20447.579692318999</c:v>
                </c:pt>
                <c:pt idx="46">
                  <c:v>-19810.981127177503</c:v>
                </c:pt>
                <c:pt idx="47">
                  <c:v>-19114.636746783617</c:v>
                </c:pt>
                <c:pt idx="48">
                  <c:v>-18355.663924588785</c:v>
                </c:pt>
                <c:pt idx="49">
                  <c:v>-17531.141548347579</c:v>
                </c:pt>
                <c:pt idx="50">
                  <c:v>-16638.110020117638</c:v>
                </c:pt>
                <c:pt idx="51">
                  <c:v>-15673.571256259944</c:v>
                </c:pt>
                <c:pt idx="52">
                  <c:v>-14634.488687438563</c:v>
                </c:pt>
                <c:pt idx="53">
                  <c:v>-13517.787258620774</c:v>
                </c:pt>
                <c:pt idx="54">
                  <c:v>-12320.353429076997</c:v>
                </c:pt>
                <c:pt idx="55">
                  <c:v>-11039.035172380864</c:v>
                </c:pt>
                <c:pt idx="56">
                  <c:v>-9670.6419764091042</c:v>
                </c:pt>
                <c:pt idx="57">
                  <c:v>-8211.9448433417201</c:v>
                </c:pt>
                <c:pt idx="58">
                  <c:v>-6659.6762896618384</c:v>
                </c:pt>
                <c:pt idx="59">
                  <c:v>-5010.5303461558142</c:v>
                </c:pt>
                <c:pt idx="60">
                  <c:v>-3261.162557913085</c:v>
                </c:pt>
                <c:pt idx="61">
                  <c:v>-1408.1899843263163</c:v>
                </c:pt>
                <c:pt idx="62">
                  <c:v>551.80880090859864</c:v>
                </c:pt>
                <c:pt idx="63">
                  <c:v>2622.2937097926842</c:v>
                </c:pt>
                <c:pt idx="64">
                  <c:v>4806.7631400238097</c:v>
                </c:pt>
                <c:pt idx="65">
                  <c:v>7108.7539749965144</c:v>
                </c:pt>
                <c:pt idx="66">
                  <c:v>9531.8415838022265</c:v>
                </c:pt>
                <c:pt idx="67">
                  <c:v>12079.639821229321</c:v>
                </c:pt>
                <c:pt idx="68">
                  <c:v>14755.801027762885</c:v>
                </c:pt>
                <c:pt idx="69">
                  <c:v>17564.01602958484</c:v>
                </c:pt>
                <c:pt idx="70">
                  <c:v>20508.014138573933</c:v>
                </c:pt>
                <c:pt idx="71">
                  <c:v>23591.563152305702</c:v>
                </c:pt>
                <c:pt idx="72">
                  <c:v>26818.469354052671</c:v>
                </c:pt>
                <c:pt idx="73">
                  <c:v>30192.577512783922</c:v>
                </c:pt>
                <c:pt idx="74">
                  <c:v>33717.770883165584</c:v>
                </c:pt>
                <c:pt idx="75">
                  <c:v>37397.971205560571</c:v>
                </c:pt>
                <c:pt idx="76">
                  <c:v>41237.138706028483</c:v>
                </c:pt>
                <c:pt idx="77">
                  <c:v>45239.272096326014</c:v>
                </c:pt>
                <c:pt idx="78">
                  <c:v>49408.408573906279</c:v>
                </c:pt>
                <c:pt idx="79">
                  <c:v>53748.62382191966</c:v>
                </c:pt>
                <c:pt idx="80">
                  <c:v>58264.032009213021</c:v>
                </c:pt>
                <c:pt idx="81">
                  <c:v>62958.785790330228</c:v>
                </c:pt>
                <c:pt idx="82">
                  <c:v>67837.076305512048</c:v>
                </c:pt>
                <c:pt idx="83">
                  <c:v>72903.133180695761</c:v>
                </c:pt>
                <c:pt idx="84">
                  <c:v>78161.224527515791</c:v>
                </c:pt>
                <c:pt idx="85">
                  <c:v>83615.656943303213</c:v>
                </c:pt>
                <c:pt idx="86">
                  <c:v>89270.775511086016</c:v>
                </c:pt>
                <c:pt idx="87">
                  <c:v>95130.963799588819</c:v>
                </c:pt>
                <c:pt idx="88">
                  <c:v>101200.64386323333</c:v>
                </c:pt>
                <c:pt idx="89">
                  <c:v>107484.27624213818</c:v>
                </c:pt>
                <c:pt idx="90">
                  <c:v>113986.35996211812</c:v>
                </c:pt>
                <c:pt idx="91">
                  <c:v>120711.43253468574</c:v>
                </c:pt>
                <c:pt idx="92">
                  <c:v>127664.06995704951</c:v>
                </c:pt>
                <c:pt idx="93">
                  <c:v>134848.88671211552</c:v>
                </c:pt>
                <c:pt idx="94">
                  <c:v>142270.53576848598</c:v>
                </c:pt>
                <c:pt idx="95">
                  <c:v>149933.7085804604</c:v>
                </c:pt>
                <c:pt idx="96">
                  <c:v>157843.13508803505</c:v>
                </c:pt>
                <c:pt idx="97">
                  <c:v>166003.58371690271</c:v>
                </c:pt>
                <c:pt idx="98">
                  <c:v>174419.8613784535</c:v>
                </c:pt>
                <c:pt idx="99">
                  <c:v>183096.81346977386</c:v>
                </c:pt>
                <c:pt idx="100">
                  <c:v>192039.32387364743</c:v>
                </c:pt>
              </c:numCache>
            </c:numRef>
          </c:yVal>
          <c:smooth val="1"/>
          <c:extLst>
            <c:ext xmlns:c16="http://schemas.microsoft.com/office/drawing/2014/chart" uri="{C3380CC4-5D6E-409C-BE32-E72D297353CC}">
              <c16:uniqueId val="{00000000-D0EE-485F-AD87-4580B86BFB6D}"/>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外挿区間</c:v>
          </c:tx>
          <c:spPr>
            <a:ln w="12700" cap="rnd">
              <a:solidFill>
                <a:schemeClr val="accent1"/>
              </a:solidFill>
              <a:prstDash val="sysDash"/>
              <a:round/>
            </a:ln>
            <a:effectLst/>
          </c:spPr>
          <c:marker>
            <c:symbol val="none"/>
          </c:marker>
          <c:xVal>
            <c:numRef>
              <c:f>D_4!$AR$15:$AR$1015</c:f>
              <c:numCache>
                <c:formatCode>General</c:formatCode>
                <c:ptCount val="1001"/>
                <c:pt idx="0">
                  <c:v>-6</c:v>
                </c:pt>
                <c:pt idx="1">
                  <c:v>-5.52</c:v>
                </c:pt>
                <c:pt idx="2">
                  <c:v>-5.04</c:v>
                </c:pt>
                <c:pt idx="3">
                  <c:v>-4.5600000000000005</c:v>
                </c:pt>
                <c:pt idx="4">
                  <c:v>-4.08</c:v>
                </c:pt>
                <c:pt idx="5">
                  <c:v>-3.5999999999999996</c:v>
                </c:pt>
                <c:pt idx="6">
                  <c:v>-3.120000000000001</c:v>
                </c:pt>
                <c:pt idx="7">
                  <c:v>-2.6400000000000006</c:v>
                </c:pt>
                <c:pt idx="8">
                  <c:v>-2.16</c:v>
                </c:pt>
                <c:pt idx="9">
                  <c:v>-1.6799999999999997</c:v>
                </c:pt>
                <c:pt idx="10">
                  <c:v>-1.1999999999999993</c:v>
                </c:pt>
                <c:pt idx="11">
                  <c:v>-0.72000000000000064</c:v>
                </c:pt>
                <c:pt idx="12">
                  <c:v>-0.24000000000000021</c:v>
                </c:pt>
                <c:pt idx="13">
                  <c:v>0.24000000000000021</c:v>
                </c:pt>
                <c:pt idx="14">
                  <c:v>0.71999999999999886</c:v>
                </c:pt>
                <c:pt idx="15">
                  <c:v>1.1999999999999993</c:v>
                </c:pt>
                <c:pt idx="16">
                  <c:v>1.6799999999999997</c:v>
                </c:pt>
                <c:pt idx="17">
                  <c:v>2.16</c:v>
                </c:pt>
                <c:pt idx="18">
                  <c:v>2.6400000000000006</c:v>
                </c:pt>
                <c:pt idx="19">
                  <c:v>3.1199999999999992</c:v>
                </c:pt>
                <c:pt idx="20">
                  <c:v>3.5999999999999996</c:v>
                </c:pt>
                <c:pt idx="21">
                  <c:v>4.0799999999999983</c:v>
                </c:pt>
                <c:pt idx="22">
                  <c:v>4.5599999999999987</c:v>
                </c:pt>
                <c:pt idx="23">
                  <c:v>5.0399999999999991</c:v>
                </c:pt>
                <c:pt idx="24">
                  <c:v>5.52</c:v>
                </c:pt>
                <c:pt idx="25">
                  <c:v>6</c:v>
                </c:pt>
                <c:pt idx="26">
                  <c:v>6.48</c:v>
                </c:pt>
                <c:pt idx="27">
                  <c:v>6.9600000000000009</c:v>
                </c:pt>
                <c:pt idx="28">
                  <c:v>7.4399999999999977</c:v>
                </c:pt>
                <c:pt idx="29">
                  <c:v>7.9200000000000017</c:v>
                </c:pt>
                <c:pt idx="30">
                  <c:v>8.3999999999999986</c:v>
                </c:pt>
                <c:pt idx="31">
                  <c:v>8.879999999999999</c:v>
                </c:pt>
                <c:pt idx="32">
                  <c:v>9.36</c:v>
                </c:pt>
                <c:pt idx="33">
                  <c:v>9.84</c:v>
                </c:pt>
                <c:pt idx="34">
                  <c:v>10.32</c:v>
                </c:pt>
                <c:pt idx="35">
                  <c:v>10.8</c:v>
                </c:pt>
                <c:pt idx="36">
                  <c:v>11.280000000000001</c:v>
                </c:pt>
                <c:pt idx="37">
                  <c:v>11.759999999999998</c:v>
                </c:pt>
                <c:pt idx="38">
                  <c:v>12.239999999999998</c:v>
                </c:pt>
                <c:pt idx="39">
                  <c:v>12.719999999999999</c:v>
                </c:pt>
                <c:pt idx="40">
                  <c:v>13.2</c:v>
                </c:pt>
                <c:pt idx="41">
                  <c:v>13.68</c:v>
                </c:pt>
                <c:pt idx="42">
                  <c:v>14.16</c:v>
                </c:pt>
                <c:pt idx="43">
                  <c:v>14.64</c:v>
                </c:pt>
                <c:pt idx="44">
                  <c:v>15.119999999999997</c:v>
                </c:pt>
                <c:pt idx="45">
                  <c:v>15.599999999999998</c:v>
                </c:pt>
                <c:pt idx="46">
                  <c:v>16.079999999999998</c:v>
                </c:pt>
                <c:pt idx="47">
                  <c:v>16.559999999999999</c:v>
                </c:pt>
                <c:pt idx="48">
                  <c:v>17.04</c:v>
                </c:pt>
                <c:pt idx="49">
                  <c:v>17.52</c:v>
                </c:pt>
                <c:pt idx="50">
                  <c:v>18</c:v>
                </c:pt>
                <c:pt idx="51">
                  <c:v>18.48</c:v>
                </c:pt>
                <c:pt idx="52">
                  <c:v>18.96</c:v>
                </c:pt>
                <c:pt idx="53">
                  <c:v>19.439999999999998</c:v>
                </c:pt>
                <c:pt idx="54">
                  <c:v>19.919999999999998</c:v>
                </c:pt>
                <c:pt idx="55">
                  <c:v>20.399999999999999</c:v>
                </c:pt>
                <c:pt idx="56">
                  <c:v>20.879999999999995</c:v>
                </c:pt>
                <c:pt idx="57">
                  <c:v>21.36</c:v>
                </c:pt>
                <c:pt idx="58">
                  <c:v>21.840000000000003</c:v>
                </c:pt>
                <c:pt idx="59">
                  <c:v>22.32</c:v>
                </c:pt>
                <c:pt idx="60">
                  <c:v>22.799999999999997</c:v>
                </c:pt>
                <c:pt idx="61">
                  <c:v>23.28</c:v>
                </c:pt>
                <c:pt idx="62">
                  <c:v>23.759999999999998</c:v>
                </c:pt>
                <c:pt idx="63">
                  <c:v>24.239999999999995</c:v>
                </c:pt>
                <c:pt idx="64">
                  <c:v>24.72</c:v>
                </c:pt>
                <c:pt idx="65">
                  <c:v>25.200000000000003</c:v>
                </c:pt>
                <c:pt idx="66">
                  <c:v>25.68</c:v>
                </c:pt>
                <c:pt idx="67">
                  <c:v>26.159999999999997</c:v>
                </c:pt>
                <c:pt idx="68">
                  <c:v>26.64</c:v>
                </c:pt>
                <c:pt idx="69">
                  <c:v>27.119999999999997</c:v>
                </c:pt>
                <c:pt idx="70">
                  <c:v>27.6</c:v>
                </c:pt>
                <c:pt idx="71">
                  <c:v>28.08</c:v>
                </c:pt>
                <c:pt idx="72">
                  <c:v>28.560000000000002</c:v>
                </c:pt>
                <c:pt idx="73">
                  <c:v>29.04</c:v>
                </c:pt>
                <c:pt idx="74">
                  <c:v>29.519999999999996</c:v>
                </c:pt>
                <c:pt idx="75">
                  <c:v>30</c:v>
                </c:pt>
                <c:pt idx="76">
                  <c:v>30.479999999999997</c:v>
                </c:pt>
                <c:pt idx="77">
                  <c:v>30.96</c:v>
                </c:pt>
                <c:pt idx="78">
                  <c:v>31.439999999999998</c:v>
                </c:pt>
                <c:pt idx="79">
                  <c:v>31.92</c:v>
                </c:pt>
                <c:pt idx="80">
                  <c:v>32.4</c:v>
                </c:pt>
                <c:pt idx="81">
                  <c:v>32.879999999999995</c:v>
                </c:pt>
                <c:pt idx="82">
                  <c:v>33.36</c:v>
                </c:pt>
                <c:pt idx="83">
                  <c:v>33.839999999999996</c:v>
                </c:pt>
                <c:pt idx="84">
                  <c:v>34.32</c:v>
                </c:pt>
                <c:pt idx="85">
                  <c:v>34.799999999999997</c:v>
                </c:pt>
                <c:pt idx="86">
                  <c:v>35.28</c:v>
                </c:pt>
                <c:pt idx="87">
                  <c:v>35.76</c:v>
                </c:pt>
                <c:pt idx="88">
                  <c:v>36.239999999999995</c:v>
                </c:pt>
                <c:pt idx="89">
                  <c:v>36.72</c:v>
                </c:pt>
                <c:pt idx="90">
                  <c:v>37.199999999999996</c:v>
                </c:pt>
                <c:pt idx="91">
                  <c:v>37.68</c:v>
                </c:pt>
                <c:pt idx="92">
                  <c:v>38.159999999999997</c:v>
                </c:pt>
                <c:pt idx="93">
                  <c:v>38.64</c:v>
                </c:pt>
                <c:pt idx="94">
                  <c:v>39.119999999999997</c:v>
                </c:pt>
                <c:pt idx="95">
                  <c:v>39.6</c:v>
                </c:pt>
                <c:pt idx="96">
                  <c:v>40.08</c:v>
                </c:pt>
                <c:pt idx="97">
                  <c:v>40.559999999999995</c:v>
                </c:pt>
                <c:pt idx="98">
                  <c:v>41.04</c:v>
                </c:pt>
                <c:pt idx="99">
                  <c:v>41.519999999999996</c:v>
                </c:pt>
                <c:pt idx="100">
                  <c:v>42</c:v>
                </c:pt>
              </c:numCache>
            </c:numRef>
          </c:xVal>
          <c:yVal>
            <c:numRef>
              <c:f>D_4!$AQ$15:$AQ$1015</c:f>
              <c:numCache>
                <c:formatCode>General</c:formatCode>
                <c:ptCount val="1001"/>
                <c:pt idx="0">
                  <c:v>-94476.871233356389</c:v>
                </c:pt>
                <c:pt idx="1">
                  <c:v>-89653.09608655647</c:v>
                </c:pt>
                <c:pt idx="2">
                  <c:v>-84986.812230046518</c:v>
                </c:pt>
                <c:pt idx="3">
                  <c:v>-80483.745952662241</c:v>
                </c:pt>
                <c:pt idx="4">
                  <c:v>-76149.00777209019</c:v>
                </c:pt>
                <c:pt idx="5">
                  <c:v>-71987.092434867693</c:v>
                </c:pt>
                <c:pt idx="6">
                  <c:v>-68001.87891638295</c:v>
                </c:pt>
                <c:pt idx="7">
                  <c:v>-64196.630420874848</c:v>
                </c:pt>
                <c:pt idx="8">
                  <c:v>-60573.994381433207</c:v>
                </c:pt>
                <c:pt idx="9">
                  <c:v>-57136.002459998577</c:v>
                </c:pt>
                <c:pt idx="10">
                  <c:v>-53884.070547362368</c:v>
                </c:pt>
                <c:pt idx="11">
                  <c:v>-50818.998763166775</c:v>
                </c:pt>
                <c:pt idx="12">
                  <c:v>-47940.971455904786</c:v>
                </c:pt>
                <c:pt idx="13">
                  <c:v>-45249.55720292023</c:v>
                </c:pt>
                <c:pt idx="14">
                  <c:v>-42743.708810407741</c:v>
                </c:pt>
                <c:pt idx="15">
                  <c:v>-40421.763313412732</c:v>
                </c:pt>
                <c:pt idx="16">
                  <c:v>-38281.441975831462</c:v>
                </c:pt>
                <c:pt idx="17">
                  <c:v>-36319.85029041097</c:v>
                </c:pt>
                <c:pt idx="18">
                  <c:v>-34533.477978749135</c:v>
                </c:pt>
                <c:pt idx="19">
                  <c:v>-32918.198991294623</c:v>
                </c:pt>
                <c:pt idx="20">
                  <c:v>-31469.271507346904</c:v>
                </c:pt>
                <c:pt idx="21">
                  <c:v>-30181.337935056283</c:v>
                </c:pt>
                <c:pt idx="22">
                  <c:v>-29048.424911423848</c:v>
                </c:pt>
                <c:pt idx="23">
                  <c:v>-28063.943302301508</c:v>
                </c:pt>
                <c:pt idx="24">
                  <c:v>-27220.68820239199</c:v>
                </c:pt>
                <c:pt idx="25">
                  <c:v>-26510.838935248816</c:v>
                </c:pt>
                <c:pt idx="26">
                  <c:v>-25925.959053276318</c:v>
                </c:pt>
                <c:pt idx="27">
                  <c:v>-25456.996337729648</c:v>
                </c:pt>
                <c:pt idx="28">
                  <c:v>-25094.282798714758</c:v>
                </c:pt>
                <c:pt idx="29">
                  <c:v>-24827.534675188414</c:v>
                </c:pt>
                <c:pt idx="30">
                  <c:v>-24645.852434958178</c:v>
                </c:pt>
                <c:pt idx="31">
                  <c:v>-24537.720774682461</c:v>
                </c:pt>
                <c:pt idx="32">
                  <c:v>-24491.008619870416</c:v>
                </c:pt>
                <c:pt idx="33">
                  <c:v>-24492.969124882082</c:v>
                </c:pt>
                <c:pt idx="34">
                  <c:v>-24530.239672928241</c:v>
                </c:pt>
                <c:pt idx="35">
                  <c:v>-24588.841876070532</c:v>
                </c:pt>
                <c:pt idx="36">
                  <c:v>-24654.181575221373</c:v>
                </c:pt>
                <c:pt idx="37">
                  <c:v>-24711.048840144009</c:v>
                </c:pt>
                <c:pt idx="38">
                  <c:v>-24743.617969452484</c:v>
                </c:pt>
                <c:pt idx="39">
                  <c:v>-24735.447490611645</c:v>
                </c:pt>
                <c:pt idx="40">
                  <c:v>-24669.480159937171</c:v>
                </c:pt>
                <c:pt idx="41">
                  <c:v>-24528.042962595537</c:v>
                </c:pt>
                <c:pt idx="42">
                  <c:v>-24292.847112604046</c:v>
                </c:pt>
                <c:pt idx="43">
                  <c:v>-23944.988052830748</c:v>
                </c:pt>
                <c:pt idx="44">
                  <c:v>-23464.945454994588</c:v>
                </c:pt>
                <c:pt idx="45">
                  <c:v>-22832.583219665226</c:v>
                </c:pt>
                <c:pt idx="46">
                  <c:v>-22027.149476263257</c:v>
                </c:pt>
                <c:pt idx="47">
                  <c:v>-21027.27658305996</c:v>
                </c:pt>
                <c:pt idx="48">
                  <c:v>-19810.981127177503</c:v>
                </c:pt>
                <c:pt idx="49">
                  <c:v>-18355.663924588785</c:v>
                </c:pt>
                <c:pt idx="50">
                  <c:v>-16638.110020117638</c:v>
                </c:pt>
                <c:pt idx="51">
                  <c:v>-14634.488687438563</c:v>
                </c:pt>
                <c:pt idx="52">
                  <c:v>-12320.353429076997</c:v>
                </c:pt>
                <c:pt idx="53">
                  <c:v>-9670.6419764091042</c:v>
                </c:pt>
                <c:pt idx="54">
                  <c:v>-6659.6762896618675</c:v>
                </c:pt>
                <c:pt idx="55">
                  <c:v>-3261.162557913085</c:v>
                </c:pt>
                <c:pt idx="56">
                  <c:v>551.80880090858409</c:v>
                </c:pt>
                <c:pt idx="57">
                  <c:v>4806.7631400238097</c:v>
                </c:pt>
                <c:pt idx="58">
                  <c:v>9531.8415838022993</c:v>
                </c:pt>
                <c:pt idx="59">
                  <c:v>14755.801027762885</c:v>
                </c:pt>
                <c:pt idx="60">
                  <c:v>20508.014138573875</c:v>
                </c:pt>
                <c:pt idx="61">
                  <c:v>26818.469354052671</c:v>
                </c:pt>
                <c:pt idx="62">
                  <c:v>33717.770883165584</c:v>
                </c:pt>
                <c:pt idx="63">
                  <c:v>41237.138706028454</c:v>
                </c:pt>
                <c:pt idx="64">
                  <c:v>49408.408573906279</c:v>
                </c:pt>
                <c:pt idx="65">
                  <c:v>58264.032009213108</c:v>
                </c:pt>
                <c:pt idx="66">
                  <c:v>67837.076305512048</c:v>
                </c:pt>
                <c:pt idx="67">
                  <c:v>78161.224527515762</c:v>
                </c:pt>
                <c:pt idx="68">
                  <c:v>89270.775511086016</c:v>
                </c:pt>
                <c:pt idx="69">
                  <c:v>101200.64386323333</c:v>
                </c:pt>
                <c:pt idx="70">
                  <c:v>113986.35996211821</c:v>
                </c:pt>
                <c:pt idx="71">
                  <c:v>127664.06995704951</c:v>
                </c:pt>
                <c:pt idx="72">
                  <c:v>142270.53576848601</c:v>
                </c:pt>
                <c:pt idx="73">
                  <c:v>157843.13508803505</c:v>
                </c:pt>
                <c:pt idx="74">
                  <c:v>174419.86137845335</c:v>
                </c:pt>
                <c:pt idx="75">
                  <c:v>192039.32387364743</c:v>
                </c:pt>
                <c:pt idx="76">
                  <c:v>210740.74757867196</c:v>
                </c:pt>
                <c:pt idx="77">
                  <c:v>230563.9732697318</c:v>
                </c:pt>
                <c:pt idx="78">
                  <c:v>251549.45749418001</c:v>
                </c:pt>
                <c:pt idx="79">
                  <c:v>273738.27257052012</c:v>
                </c:pt>
                <c:pt idx="80">
                  <c:v>297172.10658840305</c:v>
                </c:pt>
                <c:pt idx="81">
                  <c:v>321893.26340863045</c:v>
                </c:pt>
                <c:pt idx="82">
                  <c:v>347944.6626631532</c:v>
                </c:pt>
                <c:pt idx="83">
                  <c:v>375369.83975507028</c:v>
                </c:pt>
                <c:pt idx="84">
                  <c:v>404212.94585863053</c:v>
                </c:pt>
                <c:pt idx="85">
                  <c:v>434518.74791923136</c:v>
                </c:pt>
                <c:pt idx="86">
                  <c:v>466332.62865342089</c:v>
                </c:pt>
                <c:pt idx="87">
                  <c:v>499700.58654889459</c:v>
                </c:pt>
                <c:pt idx="88">
                  <c:v>534669.23586449819</c:v>
                </c:pt>
                <c:pt idx="89">
                  <c:v>571285.80663022667</c:v>
                </c:pt>
                <c:pt idx="90">
                  <c:v>609598.14464722341</c:v>
                </c:pt>
                <c:pt idx="91">
                  <c:v>649654.71148778219</c:v>
                </c:pt>
                <c:pt idx="92">
                  <c:v>691504.58449534408</c:v>
                </c:pt>
                <c:pt idx="93">
                  <c:v>735197.45678450179</c:v>
                </c:pt>
                <c:pt idx="94">
                  <c:v>780783.63724099484</c:v>
                </c:pt>
                <c:pt idx="95">
                  <c:v>828314.0505217145</c:v>
                </c:pt>
                <c:pt idx="96">
                  <c:v>877840.2370546977</c:v>
                </c:pt>
                <c:pt idx="97">
                  <c:v>929414.35303913453</c:v>
                </c:pt>
                <c:pt idx="98">
                  <c:v>983089.17044536176</c:v>
                </c:pt>
                <c:pt idx="99">
                  <c:v>1038918.0770148657</c:v>
                </c:pt>
                <c:pt idx="100">
                  <c:v>1096955.0762602827</c:v>
                </c:pt>
              </c:numCache>
            </c:numRef>
          </c:yVal>
          <c:smooth val="1"/>
          <c:extLst>
            <c:ext xmlns:c16="http://schemas.microsoft.com/office/drawing/2014/chart" uri="{C3380CC4-5D6E-409C-BE32-E72D297353CC}">
              <c16:uniqueId val="{00000000-EC42-42F1-A1D6-2E07BD1811F1}"/>
            </c:ext>
          </c:extLst>
        </c:ser>
        <c:ser>
          <c:idx val="1"/>
          <c:order val="1"/>
          <c:tx>
            <c:v>計算区間</c:v>
          </c:tx>
          <c:spPr>
            <a:ln w="19050" cap="rnd">
              <a:solidFill>
                <a:schemeClr val="accent2"/>
              </a:solidFill>
              <a:round/>
            </a:ln>
            <a:effectLst/>
          </c:spPr>
          <c:marker>
            <c:symbol val="none"/>
          </c:marker>
          <c:xVal>
            <c:numRef>
              <c:f>D_4!$AU$15:$AU$1015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D_4!$AT$15:$AT$1015</c:f>
              <c:numCache>
                <c:formatCode>General</c:formatCode>
                <c:ptCount val="1001"/>
                <c:pt idx="0">
                  <c:v>-26510.838935248816</c:v>
                </c:pt>
                <c:pt idx="1">
                  <c:v>-26203.329152651473</c:v>
                </c:pt>
                <c:pt idx="2">
                  <c:v>-25925.959053276318</c:v>
                </c:pt>
                <c:pt idx="3">
                  <c:v>-25677.577866931824</c:v>
                </c:pt>
                <c:pt idx="4">
                  <c:v>-25456.996337729644</c:v>
                </c:pt>
                <c:pt idx="5">
                  <c:v>-25262.986724084622</c:v>
                </c:pt>
                <c:pt idx="6">
                  <c:v>-25094.282798714758</c:v>
                </c:pt>
                <c:pt idx="7">
                  <c:v>-24949.579848641231</c:v>
                </c:pt>
                <c:pt idx="8">
                  <c:v>-24827.53467518841</c:v>
                </c:pt>
                <c:pt idx="9">
                  <c:v>-24726.765593983822</c:v>
                </c:pt>
                <c:pt idx="10">
                  <c:v>-24645.852434958182</c:v>
                </c:pt>
                <c:pt idx="11">
                  <c:v>-24583.336542345369</c:v>
                </c:pt>
                <c:pt idx="12">
                  <c:v>-24537.720774682461</c:v>
                </c:pt>
                <c:pt idx="13">
                  <c:v>-24507.469504809669</c:v>
                </c:pt>
                <c:pt idx="14">
                  <c:v>-24491.008619870416</c:v>
                </c:pt>
                <c:pt idx="15">
                  <c:v>-24486.725521311309</c:v>
                </c:pt>
                <c:pt idx="16">
                  <c:v>-24492.969124882082</c:v>
                </c:pt>
                <c:pt idx="17">
                  <c:v>-24508.049860635685</c:v>
                </c:pt>
                <c:pt idx="18">
                  <c:v>-24530.239672928241</c:v>
                </c:pt>
                <c:pt idx="19">
                  <c:v>-24557.772020419034</c:v>
                </c:pt>
                <c:pt idx="20">
                  <c:v>-24588.841876070532</c:v>
                </c:pt>
                <c:pt idx="21">
                  <c:v>-24621.605727148366</c:v>
                </c:pt>
                <c:pt idx="22">
                  <c:v>-24654.181575221373</c:v>
                </c:pt>
                <c:pt idx="23">
                  <c:v>-24684.648936161524</c:v>
                </c:pt>
                <c:pt idx="24">
                  <c:v>-24711.048840144002</c:v>
                </c:pt>
                <c:pt idx="25">
                  <c:v>-24731.383831647152</c:v>
                </c:pt>
                <c:pt idx="26">
                  <c:v>-24743.617969452476</c:v>
                </c:pt>
                <c:pt idx="27">
                  <c:v>-24745.676826644682</c:v>
                </c:pt>
                <c:pt idx="28">
                  <c:v>-24735.447490611645</c:v>
                </c:pt>
                <c:pt idx="29">
                  <c:v>-24710.778563044405</c:v>
                </c:pt>
                <c:pt idx="30">
                  <c:v>-24669.480159937171</c:v>
                </c:pt>
                <c:pt idx="31">
                  <c:v>-24609.323911587366</c:v>
                </c:pt>
                <c:pt idx="32">
                  <c:v>-24528.042962595537</c:v>
                </c:pt>
                <c:pt idx="33">
                  <c:v>-24423.33197186546</c:v>
                </c:pt>
                <c:pt idx="34">
                  <c:v>-24292.847112604046</c:v>
                </c:pt>
                <c:pt idx="35">
                  <c:v>-24134.20607232138</c:v>
                </c:pt>
                <c:pt idx="36">
                  <c:v>-23944.988052830748</c:v>
                </c:pt>
                <c:pt idx="37">
                  <c:v>-23722.733770248604</c:v>
                </c:pt>
                <c:pt idx="38">
                  <c:v>-23464.945454994573</c:v>
                </c:pt>
                <c:pt idx="39">
                  <c:v>-23169.086851791457</c:v>
                </c:pt>
                <c:pt idx="40">
                  <c:v>-22832.583219665241</c:v>
                </c:pt>
                <c:pt idx="41">
                  <c:v>-22452.821331945066</c:v>
                </c:pt>
                <c:pt idx="42">
                  <c:v>-22027.149476263257</c:v>
                </c:pt>
                <c:pt idx="43">
                  <c:v>-21552.877454555324</c:v>
                </c:pt>
                <c:pt idx="44">
                  <c:v>-21027.27658305996</c:v>
                </c:pt>
                <c:pt idx="45">
                  <c:v>-20447.579692318999</c:v>
                </c:pt>
                <c:pt idx="46">
                  <c:v>-19810.981127177503</c:v>
                </c:pt>
                <c:pt idx="47">
                  <c:v>-19114.636746783617</c:v>
                </c:pt>
                <c:pt idx="48">
                  <c:v>-18355.663924588785</c:v>
                </c:pt>
                <c:pt idx="49">
                  <c:v>-17531.141548347579</c:v>
                </c:pt>
                <c:pt idx="50">
                  <c:v>-16638.110020117638</c:v>
                </c:pt>
                <c:pt idx="51">
                  <c:v>-15673.571256259944</c:v>
                </c:pt>
                <c:pt idx="52">
                  <c:v>-14634.488687438563</c:v>
                </c:pt>
                <c:pt idx="53">
                  <c:v>-13517.787258620774</c:v>
                </c:pt>
                <c:pt idx="54">
                  <c:v>-12320.353429076997</c:v>
                </c:pt>
                <c:pt idx="55">
                  <c:v>-11039.035172380864</c:v>
                </c:pt>
                <c:pt idx="56">
                  <c:v>-9670.6419764091042</c:v>
                </c:pt>
                <c:pt idx="57">
                  <c:v>-8211.9448433417201</c:v>
                </c:pt>
                <c:pt idx="58">
                  <c:v>-6659.6762896618384</c:v>
                </c:pt>
                <c:pt idx="59">
                  <c:v>-5010.5303461558142</c:v>
                </c:pt>
                <c:pt idx="60">
                  <c:v>-3261.162557913085</c:v>
                </c:pt>
                <c:pt idx="61">
                  <c:v>-1408.1899843263163</c:v>
                </c:pt>
                <c:pt idx="62">
                  <c:v>551.80880090859864</c:v>
                </c:pt>
                <c:pt idx="63">
                  <c:v>2622.2937097926842</c:v>
                </c:pt>
                <c:pt idx="64">
                  <c:v>4806.7631400238097</c:v>
                </c:pt>
                <c:pt idx="65">
                  <c:v>7108.7539749965144</c:v>
                </c:pt>
                <c:pt idx="66">
                  <c:v>9531.8415838022265</c:v>
                </c:pt>
                <c:pt idx="67">
                  <c:v>12079.639821229321</c:v>
                </c:pt>
                <c:pt idx="68">
                  <c:v>14755.801027762885</c:v>
                </c:pt>
                <c:pt idx="69">
                  <c:v>17564.01602958484</c:v>
                </c:pt>
                <c:pt idx="70">
                  <c:v>20508.014138573933</c:v>
                </c:pt>
                <c:pt idx="71">
                  <c:v>23591.563152305702</c:v>
                </c:pt>
                <c:pt idx="72">
                  <c:v>26818.469354052671</c:v>
                </c:pt>
                <c:pt idx="73">
                  <c:v>30192.577512783922</c:v>
                </c:pt>
                <c:pt idx="74">
                  <c:v>33717.770883165584</c:v>
                </c:pt>
                <c:pt idx="75">
                  <c:v>37397.971205560571</c:v>
                </c:pt>
                <c:pt idx="76">
                  <c:v>41237.138706028483</c:v>
                </c:pt>
                <c:pt idx="77">
                  <c:v>45239.272096326014</c:v>
                </c:pt>
                <c:pt idx="78">
                  <c:v>49408.408573906279</c:v>
                </c:pt>
                <c:pt idx="79">
                  <c:v>53748.62382191966</c:v>
                </c:pt>
                <c:pt idx="80">
                  <c:v>58264.032009213021</c:v>
                </c:pt>
                <c:pt idx="81">
                  <c:v>62958.785790330228</c:v>
                </c:pt>
                <c:pt idx="82">
                  <c:v>67837.076305512048</c:v>
                </c:pt>
                <c:pt idx="83">
                  <c:v>72903.133180695761</c:v>
                </c:pt>
                <c:pt idx="84">
                  <c:v>78161.224527515791</c:v>
                </c:pt>
                <c:pt idx="85">
                  <c:v>83615.656943303213</c:v>
                </c:pt>
                <c:pt idx="86">
                  <c:v>89270.775511086016</c:v>
                </c:pt>
                <c:pt idx="87">
                  <c:v>95130.963799588819</c:v>
                </c:pt>
                <c:pt idx="88">
                  <c:v>101200.64386323333</c:v>
                </c:pt>
                <c:pt idx="89">
                  <c:v>107484.27624213818</c:v>
                </c:pt>
                <c:pt idx="90">
                  <c:v>113986.35996211812</c:v>
                </c:pt>
                <c:pt idx="91">
                  <c:v>120711.43253468574</c:v>
                </c:pt>
                <c:pt idx="92">
                  <c:v>127664.06995704951</c:v>
                </c:pt>
                <c:pt idx="93">
                  <c:v>134848.88671211552</c:v>
                </c:pt>
                <c:pt idx="94">
                  <c:v>142270.53576848598</c:v>
                </c:pt>
                <c:pt idx="95">
                  <c:v>149933.7085804604</c:v>
                </c:pt>
                <c:pt idx="96">
                  <c:v>157843.13508803505</c:v>
                </c:pt>
                <c:pt idx="97">
                  <c:v>166003.58371690271</c:v>
                </c:pt>
                <c:pt idx="98">
                  <c:v>174419.8613784535</c:v>
                </c:pt>
                <c:pt idx="99">
                  <c:v>183096.81346977386</c:v>
                </c:pt>
                <c:pt idx="100">
                  <c:v>192039.32387364743</c:v>
                </c:pt>
              </c:numCache>
            </c:numRef>
          </c:yVal>
          <c:smooth val="1"/>
          <c:extLst>
            <c:ext xmlns:c16="http://schemas.microsoft.com/office/drawing/2014/chart" uri="{C3380CC4-5D6E-409C-BE32-E72D297353CC}">
              <c16:uniqueId val="{00000001-EC42-42F1-A1D6-2E07BD1811F1}"/>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tx>
            <c:v>計算区間</c:v>
          </c:tx>
          <c:spPr>
            <a:ln w="19050" cap="rnd">
              <a:solidFill>
                <a:schemeClr val="accent2"/>
              </a:solidFill>
              <a:round/>
            </a:ln>
            <a:effectLst/>
          </c:spPr>
          <c:marker>
            <c:symbol val="none"/>
          </c:marker>
          <c:xVal>
            <c:numRef>
              <c:f>D_5!$AU$15:$AU$1015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D_5!$AT$15:$AT$1015</c:f>
              <c:numCache>
                <c:formatCode>General</c:formatCode>
                <c:ptCount val="1001"/>
                <c:pt idx="0">
                  <c:v>-14089.313319871055</c:v>
                </c:pt>
                <c:pt idx="1">
                  <c:v>-14148.635795872651</c:v>
                </c:pt>
                <c:pt idx="2">
                  <c:v>-14230.539930592817</c:v>
                </c:pt>
                <c:pt idx="3">
                  <c:v>-14333.896770377643</c:v>
                </c:pt>
                <c:pt idx="4">
                  <c:v>-14457.538875876413</c:v>
                </c:pt>
                <c:pt idx="5">
                  <c:v>-14600.260322041555</c:v>
                </c:pt>
                <c:pt idx="6">
                  <c:v>-14760.816698128692</c:v>
                </c:pt>
                <c:pt idx="7">
                  <c:v>-14937.925107696628</c:v>
                </c:pt>
                <c:pt idx="8">
                  <c:v>-15130.264168607322</c:v>
                </c:pt>
                <c:pt idx="9">
                  <c:v>-15336.474013025923</c:v>
                </c:pt>
                <c:pt idx="10">
                  <c:v>-15555.156287420756</c:v>
                </c:pt>
                <c:pt idx="11">
                  <c:v>-15784.87415256332</c:v>
                </c:pt>
                <c:pt idx="12">
                  <c:v>-16024.152283528289</c:v>
                </c:pt>
                <c:pt idx="13">
                  <c:v>-16271.476869693506</c:v>
                </c:pt>
                <c:pt idx="14">
                  <c:v>-16525.295614739996</c:v>
                </c:pt>
                <c:pt idx="15">
                  <c:v>-16784.017736651967</c:v>
                </c:pt>
                <c:pt idx="16">
                  <c:v>-17046.013967716783</c:v>
                </c:pt>
                <c:pt idx="17">
                  <c:v>-17309.616554525008</c:v>
                </c:pt>
                <c:pt idx="18">
                  <c:v>-17573.11925797036</c:v>
                </c:pt>
                <c:pt idx="19">
                  <c:v>-17834.777353249738</c:v>
                </c:pt>
                <c:pt idx="20">
                  <c:v>-18092.807629863226</c:v>
                </c:pt>
                <c:pt idx="21">
                  <c:v>-18345.388391614077</c:v>
                </c:pt>
                <c:pt idx="22">
                  <c:v>-18590.659456608722</c:v>
                </c:pt>
                <c:pt idx="23">
                  <c:v>-18826.722157256758</c:v>
                </c:pt>
                <c:pt idx="24">
                  <c:v>-19051.63934027098</c:v>
                </c:pt>
                <c:pt idx="25">
                  <c:v>-19263.435366667334</c:v>
                </c:pt>
                <c:pt idx="26">
                  <c:v>-19460.096111764928</c:v>
                </c:pt>
                <c:pt idx="27">
                  <c:v>-19639.568965186118</c:v>
                </c:pt>
                <c:pt idx="28">
                  <c:v>-19799.762830856343</c:v>
                </c:pt>
                <c:pt idx="29">
                  <c:v>-19938.548127004287</c:v>
                </c:pt>
                <c:pt idx="30">
                  <c:v>-20053.756786161772</c:v>
                </c:pt>
                <c:pt idx="31">
                  <c:v>-20143.182255163803</c:v>
                </c:pt>
                <c:pt idx="32">
                  <c:v>-20204.57949514858</c:v>
                </c:pt>
                <c:pt idx="33">
                  <c:v>-20235.664981557464</c:v>
                </c:pt>
                <c:pt idx="34">
                  <c:v>-20234.116704134969</c:v>
                </c:pt>
                <c:pt idx="35">
                  <c:v>-20197.574166928833</c:v>
                </c:pt>
                <c:pt idx="36">
                  <c:v>-20123.63838828991</c:v>
                </c:pt>
                <c:pt idx="37">
                  <c:v>-20009.871900872291</c:v>
                </c:pt>
                <c:pt idx="38">
                  <c:v>-19853.798751633214</c:v>
                </c:pt>
                <c:pt idx="39">
                  <c:v>-19652.904501833087</c:v>
                </c:pt>
                <c:pt idx="40">
                  <c:v>-19404.636227035488</c:v>
                </c:pt>
                <c:pt idx="41">
                  <c:v>-19106.402517107192</c:v>
                </c:pt>
                <c:pt idx="42">
                  <c:v>-18755.573476218131</c:v>
                </c:pt>
                <c:pt idx="43">
                  <c:v>-18349.480722841436</c:v>
                </c:pt>
                <c:pt idx="44">
                  <c:v>-17885.417389753391</c:v>
                </c:pt>
                <c:pt idx="45">
                  <c:v>-17360.638124033467</c:v>
                </c:pt>
                <c:pt idx="46">
                  <c:v>-16772.359087064302</c:v>
                </c:pt>
                <c:pt idx="47">
                  <c:v>-16117.757954531706</c:v>
                </c:pt>
                <c:pt idx="48">
                  <c:v>-15393.973916424693</c:v>
                </c:pt>
                <c:pt idx="49">
                  <c:v>-14598.107677035434</c:v>
                </c:pt>
                <c:pt idx="50">
                  <c:v>-13727.221454959246</c:v>
                </c:pt>
                <c:pt idx="51">
                  <c:v>-12778.338983094669</c:v>
                </c:pt>
                <c:pt idx="52">
                  <c:v>-11748.445508643403</c:v>
                </c:pt>
                <c:pt idx="53">
                  <c:v>-10634.487793110318</c:v>
                </c:pt>
                <c:pt idx="54">
                  <c:v>-9433.3741123034633</c:v>
                </c:pt>
                <c:pt idx="55">
                  <c:v>-8141.9742563340333</c:v>
                </c:pt>
                <c:pt idx="56">
                  <c:v>-6757.119529616466</c:v>
                </c:pt>
                <c:pt idx="57">
                  <c:v>-5275.6027508683037</c:v>
                </c:pt>
                <c:pt idx="58">
                  <c:v>-3694.1782531103163</c:v>
                </c:pt>
                <c:pt idx="59">
                  <c:v>-2009.5618836664507</c:v>
                </c:pt>
                <c:pt idx="60">
                  <c:v>-218.43100416378729</c:v>
                </c:pt>
                <c:pt idx="61">
                  <c:v>1682.575509467446</c:v>
                </c:pt>
                <c:pt idx="62">
                  <c:v>3696.8572669937203</c:v>
                </c:pt>
                <c:pt idx="63">
                  <c:v>5827.8523638784318</c:v>
                </c:pt>
                <c:pt idx="64">
                  <c:v>8079.0373812818361</c:v>
                </c:pt>
                <c:pt idx="65">
                  <c:v>10453.927386060888</c:v>
                </c:pt>
                <c:pt idx="66">
                  <c:v>12956.075930769388</c:v>
                </c:pt>
                <c:pt idx="67">
                  <c:v>15589.07505365814</c:v>
                </c:pt>
                <c:pt idx="68">
                  <c:v>18356.555278674532</c:v>
                </c:pt>
                <c:pt idx="69">
                  <c:v>21262.185615462899</c:v>
                </c:pt>
                <c:pt idx="70">
                  <c:v>24309.673559364448</c:v>
                </c:pt>
                <c:pt idx="71">
                  <c:v>27502.765091417088</c:v>
                </c:pt>
                <c:pt idx="72">
                  <c:v>30845.244678355644</c:v>
                </c:pt>
                <c:pt idx="73">
                  <c:v>34340.935272611627</c:v>
                </c:pt>
                <c:pt idx="74">
                  <c:v>37993.698312313623</c:v>
                </c:pt>
                <c:pt idx="75">
                  <c:v>41807.433721286819</c:v>
                </c:pt>
                <c:pt idx="76">
                  <c:v>45786.079909053333</c:v>
                </c:pt>
                <c:pt idx="77">
                  <c:v>49933.61377083214</c:v>
                </c:pt>
                <c:pt idx="78">
                  <c:v>54254.050687538787</c:v>
                </c:pt>
                <c:pt idx="79">
                  <c:v>58751.444525785999</c:v>
                </c:pt>
                <c:pt idx="80">
                  <c:v>63429.887637883126</c:v>
                </c:pt>
                <c:pt idx="81">
                  <c:v>68293.510861836345</c:v>
                </c:pt>
                <c:pt idx="82">
                  <c:v>73346.483521348797</c:v>
                </c:pt>
                <c:pt idx="83">
                  <c:v>78593.013425820187</c:v>
                </c:pt>
                <c:pt idx="84">
                  <c:v>84037.346870347363</c:v>
                </c:pt>
                <c:pt idx="85">
                  <c:v>89683.768635723711</c:v>
                </c:pt>
                <c:pt idx="86">
                  <c:v>95536.601988439623</c:v>
                </c:pt>
                <c:pt idx="87">
                  <c:v>101600.2086806822</c:v>
                </c:pt>
                <c:pt idx="88">
                  <c:v>107878.98895033542</c:v>
                </c:pt>
                <c:pt idx="89">
                  <c:v>114377.3815209803</c:v>
                </c:pt>
                <c:pt idx="90">
                  <c:v>121099.86360189409</c:v>
                </c:pt>
                <c:pt idx="91">
                  <c:v>128050.95088805171</c:v>
                </c:pt>
                <c:pt idx="92">
                  <c:v>135235.19756012404</c:v>
                </c:pt>
                <c:pt idx="93">
                  <c:v>142657.19628447943</c:v>
                </c:pt>
                <c:pt idx="94">
                  <c:v>150321.57821318266</c:v>
                </c:pt>
                <c:pt idx="95">
                  <c:v>158233.01298399555</c:v>
                </c:pt>
                <c:pt idx="96">
                  <c:v>166396.20872037669</c:v>
                </c:pt>
                <c:pt idx="97">
                  <c:v>174815.91203148128</c:v>
                </c:pt>
                <c:pt idx="98">
                  <c:v>183496.90801216193</c:v>
                </c:pt>
                <c:pt idx="99">
                  <c:v>192444.02024296744</c:v>
                </c:pt>
                <c:pt idx="100">
                  <c:v>201662.11079014378</c:v>
                </c:pt>
              </c:numCache>
            </c:numRef>
          </c:yVal>
          <c:smooth val="1"/>
          <c:extLst>
            <c:ext xmlns:c16="http://schemas.microsoft.com/office/drawing/2014/chart" uri="{C3380CC4-5D6E-409C-BE32-E72D297353CC}">
              <c16:uniqueId val="{00000000-B5FE-4774-B789-1AECB79DB2EE}"/>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外挿区間</c:v>
          </c:tx>
          <c:spPr>
            <a:ln w="12700" cap="rnd">
              <a:solidFill>
                <a:schemeClr val="accent1"/>
              </a:solidFill>
              <a:prstDash val="sysDash"/>
              <a:round/>
            </a:ln>
            <a:effectLst/>
          </c:spPr>
          <c:marker>
            <c:symbol val="none"/>
          </c:marker>
          <c:xVal>
            <c:numRef>
              <c:f>D_5!$AR$15:$AR$1015</c:f>
              <c:numCache>
                <c:formatCode>General</c:formatCode>
                <c:ptCount val="1001"/>
                <c:pt idx="0">
                  <c:v>-6</c:v>
                </c:pt>
                <c:pt idx="1">
                  <c:v>-5.52</c:v>
                </c:pt>
                <c:pt idx="2">
                  <c:v>-5.04</c:v>
                </c:pt>
                <c:pt idx="3">
                  <c:v>-4.5600000000000005</c:v>
                </c:pt>
                <c:pt idx="4">
                  <c:v>-4.08</c:v>
                </c:pt>
                <c:pt idx="5">
                  <c:v>-3.5999999999999996</c:v>
                </c:pt>
                <c:pt idx="6">
                  <c:v>-3.120000000000001</c:v>
                </c:pt>
                <c:pt idx="7">
                  <c:v>-2.6400000000000006</c:v>
                </c:pt>
                <c:pt idx="8">
                  <c:v>-2.16</c:v>
                </c:pt>
                <c:pt idx="9">
                  <c:v>-1.6799999999999997</c:v>
                </c:pt>
                <c:pt idx="10">
                  <c:v>-1.1999999999999993</c:v>
                </c:pt>
                <c:pt idx="11">
                  <c:v>-0.72000000000000064</c:v>
                </c:pt>
                <c:pt idx="12">
                  <c:v>-0.24000000000000021</c:v>
                </c:pt>
                <c:pt idx="13">
                  <c:v>0.24000000000000021</c:v>
                </c:pt>
                <c:pt idx="14">
                  <c:v>0.71999999999999886</c:v>
                </c:pt>
                <c:pt idx="15">
                  <c:v>1.1999999999999993</c:v>
                </c:pt>
                <c:pt idx="16">
                  <c:v>1.6799999999999997</c:v>
                </c:pt>
                <c:pt idx="17">
                  <c:v>2.16</c:v>
                </c:pt>
                <c:pt idx="18">
                  <c:v>2.6400000000000006</c:v>
                </c:pt>
                <c:pt idx="19">
                  <c:v>3.1199999999999992</c:v>
                </c:pt>
                <c:pt idx="20">
                  <c:v>3.5999999999999996</c:v>
                </c:pt>
                <c:pt idx="21">
                  <c:v>4.0799999999999983</c:v>
                </c:pt>
                <c:pt idx="22">
                  <c:v>4.5599999999999987</c:v>
                </c:pt>
                <c:pt idx="23">
                  <c:v>5.0399999999999991</c:v>
                </c:pt>
                <c:pt idx="24">
                  <c:v>5.52</c:v>
                </c:pt>
                <c:pt idx="25">
                  <c:v>6</c:v>
                </c:pt>
                <c:pt idx="26">
                  <c:v>6.48</c:v>
                </c:pt>
                <c:pt idx="27">
                  <c:v>6.9600000000000009</c:v>
                </c:pt>
                <c:pt idx="28">
                  <c:v>7.4399999999999977</c:v>
                </c:pt>
                <c:pt idx="29">
                  <c:v>7.9200000000000017</c:v>
                </c:pt>
                <c:pt idx="30">
                  <c:v>8.3999999999999986</c:v>
                </c:pt>
                <c:pt idx="31">
                  <c:v>8.879999999999999</c:v>
                </c:pt>
                <c:pt idx="32">
                  <c:v>9.36</c:v>
                </c:pt>
                <c:pt idx="33">
                  <c:v>9.84</c:v>
                </c:pt>
                <c:pt idx="34">
                  <c:v>10.32</c:v>
                </c:pt>
                <c:pt idx="35">
                  <c:v>10.8</c:v>
                </c:pt>
                <c:pt idx="36">
                  <c:v>11.280000000000001</c:v>
                </c:pt>
                <c:pt idx="37">
                  <c:v>11.759999999999998</c:v>
                </c:pt>
                <c:pt idx="38">
                  <c:v>12.239999999999998</c:v>
                </c:pt>
                <c:pt idx="39">
                  <c:v>12.719999999999999</c:v>
                </c:pt>
                <c:pt idx="40">
                  <c:v>13.2</c:v>
                </c:pt>
                <c:pt idx="41">
                  <c:v>13.68</c:v>
                </c:pt>
                <c:pt idx="42">
                  <c:v>14.16</c:v>
                </c:pt>
                <c:pt idx="43">
                  <c:v>14.64</c:v>
                </c:pt>
                <c:pt idx="44">
                  <c:v>15.119999999999997</c:v>
                </c:pt>
                <c:pt idx="45">
                  <c:v>15.599999999999998</c:v>
                </c:pt>
                <c:pt idx="46">
                  <c:v>16.079999999999998</c:v>
                </c:pt>
                <c:pt idx="47">
                  <c:v>16.559999999999999</c:v>
                </c:pt>
                <c:pt idx="48">
                  <c:v>17.04</c:v>
                </c:pt>
                <c:pt idx="49">
                  <c:v>17.52</c:v>
                </c:pt>
                <c:pt idx="50">
                  <c:v>18</c:v>
                </c:pt>
                <c:pt idx="51">
                  <c:v>18.48</c:v>
                </c:pt>
                <c:pt idx="52">
                  <c:v>18.96</c:v>
                </c:pt>
                <c:pt idx="53">
                  <c:v>19.439999999999998</c:v>
                </c:pt>
                <c:pt idx="54">
                  <c:v>19.919999999999998</c:v>
                </c:pt>
                <c:pt idx="55">
                  <c:v>20.399999999999999</c:v>
                </c:pt>
                <c:pt idx="56">
                  <c:v>20.879999999999995</c:v>
                </c:pt>
                <c:pt idx="57">
                  <c:v>21.36</c:v>
                </c:pt>
                <c:pt idx="58">
                  <c:v>21.840000000000003</c:v>
                </c:pt>
                <c:pt idx="59">
                  <c:v>22.32</c:v>
                </c:pt>
                <c:pt idx="60">
                  <c:v>22.799999999999997</c:v>
                </c:pt>
                <c:pt idx="61">
                  <c:v>23.28</c:v>
                </c:pt>
                <c:pt idx="62">
                  <c:v>23.759999999999998</c:v>
                </c:pt>
                <c:pt idx="63">
                  <c:v>24.239999999999995</c:v>
                </c:pt>
                <c:pt idx="64">
                  <c:v>24.72</c:v>
                </c:pt>
                <c:pt idx="65">
                  <c:v>25.200000000000003</c:v>
                </c:pt>
                <c:pt idx="66">
                  <c:v>25.68</c:v>
                </c:pt>
                <c:pt idx="67">
                  <c:v>26.159999999999997</c:v>
                </c:pt>
                <c:pt idx="68">
                  <c:v>26.64</c:v>
                </c:pt>
                <c:pt idx="69">
                  <c:v>27.119999999999997</c:v>
                </c:pt>
                <c:pt idx="70">
                  <c:v>27.6</c:v>
                </c:pt>
                <c:pt idx="71">
                  <c:v>28.08</c:v>
                </c:pt>
                <c:pt idx="72">
                  <c:v>28.560000000000002</c:v>
                </c:pt>
                <c:pt idx="73">
                  <c:v>29.04</c:v>
                </c:pt>
                <c:pt idx="74">
                  <c:v>29.519999999999996</c:v>
                </c:pt>
                <c:pt idx="75">
                  <c:v>30</c:v>
                </c:pt>
                <c:pt idx="76">
                  <c:v>30.479999999999997</c:v>
                </c:pt>
                <c:pt idx="77">
                  <c:v>30.96</c:v>
                </c:pt>
                <c:pt idx="78">
                  <c:v>31.439999999999998</c:v>
                </c:pt>
                <c:pt idx="79">
                  <c:v>31.92</c:v>
                </c:pt>
                <c:pt idx="80">
                  <c:v>32.4</c:v>
                </c:pt>
                <c:pt idx="81">
                  <c:v>32.879999999999995</c:v>
                </c:pt>
                <c:pt idx="82">
                  <c:v>33.36</c:v>
                </c:pt>
                <c:pt idx="83">
                  <c:v>33.839999999999996</c:v>
                </c:pt>
                <c:pt idx="84">
                  <c:v>34.32</c:v>
                </c:pt>
                <c:pt idx="85">
                  <c:v>34.799999999999997</c:v>
                </c:pt>
                <c:pt idx="86">
                  <c:v>35.28</c:v>
                </c:pt>
                <c:pt idx="87">
                  <c:v>35.76</c:v>
                </c:pt>
                <c:pt idx="88">
                  <c:v>36.239999999999995</c:v>
                </c:pt>
                <c:pt idx="89">
                  <c:v>36.72</c:v>
                </c:pt>
                <c:pt idx="90">
                  <c:v>37.199999999999996</c:v>
                </c:pt>
                <c:pt idx="91">
                  <c:v>37.68</c:v>
                </c:pt>
                <c:pt idx="92">
                  <c:v>38.159999999999997</c:v>
                </c:pt>
                <c:pt idx="93">
                  <c:v>38.64</c:v>
                </c:pt>
                <c:pt idx="94">
                  <c:v>39.119999999999997</c:v>
                </c:pt>
                <c:pt idx="95">
                  <c:v>39.6</c:v>
                </c:pt>
                <c:pt idx="96">
                  <c:v>40.08</c:v>
                </c:pt>
                <c:pt idx="97">
                  <c:v>40.559999999999995</c:v>
                </c:pt>
                <c:pt idx="98">
                  <c:v>41.04</c:v>
                </c:pt>
                <c:pt idx="99">
                  <c:v>41.519999999999996</c:v>
                </c:pt>
                <c:pt idx="100">
                  <c:v>42</c:v>
                </c:pt>
              </c:numCache>
            </c:numRef>
          </c:xVal>
          <c:yVal>
            <c:numRef>
              <c:f>D_5!$AQ$15:$AQ$1015</c:f>
              <c:numCache>
                <c:formatCode>General</c:formatCode>
                <c:ptCount val="1001"/>
                <c:pt idx="0">
                  <c:v>-53595.105964704562</c:v>
                </c:pt>
                <c:pt idx="1">
                  <c:v>-50307.781104989823</c:v>
                </c:pt>
                <c:pt idx="2">
                  <c:v>-47143.43939617867</c:v>
                </c:pt>
                <c:pt idx="3">
                  <c:v>-44107.98165940772</c:v>
                </c:pt>
                <c:pt idx="4">
                  <c:v>-41206.692944664392</c:v>
                </c:pt>
                <c:pt idx="5">
                  <c:v>-38444.242530786927</c:v>
                </c:pt>
                <c:pt idx="6">
                  <c:v>-35824.683925464386</c:v>
                </c:pt>
                <c:pt idx="7">
                  <c:v>-33351.454865236607</c:v>
                </c:pt>
                <c:pt idx="8">
                  <c:v>-31027.377315494254</c:v>
                </c:pt>
                <c:pt idx="9">
                  <c:v>-28854.657470478811</c:v>
                </c:pt>
                <c:pt idx="10">
                  <c:v>-26834.88575328256</c:v>
                </c:pt>
                <c:pt idx="11">
                  <c:v>-24969.036815848598</c:v>
                </c:pt>
                <c:pt idx="12">
                  <c:v>-23257.469538970818</c:v>
                </c:pt>
                <c:pt idx="13">
                  <c:v>-21699.927032293934</c:v>
                </c:pt>
                <c:pt idx="14">
                  <c:v>-20295.536634313474</c:v>
                </c:pt>
                <c:pt idx="15">
                  <c:v>-19042.80991237576</c:v>
                </c:pt>
                <c:pt idx="16">
                  <c:v>-17939.642662677932</c:v>
                </c:pt>
                <c:pt idx="17">
                  <c:v>-16983.314910267942</c:v>
                </c:pt>
                <c:pt idx="18">
                  <c:v>-16170.490909044547</c:v>
                </c:pt>
                <c:pt idx="19">
                  <c:v>-15497.219141757316</c:v>
                </c:pt>
                <c:pt idx="20">
                  <c:v>-14958.932320006621</c:v>
                </c:pt>
                <c:pt idx="21">
                  <c:v>-14550.447384243653</c:v>
                </c:pt>
                <c:pt idx="22">
                  <c:v>-14265.9655037704</c:v>
                </c:pt>
                <c:pt idx="23">
                  <c:v>-14099.072076739672</c:v>
                </c:pt>
                <c:pt idx="24">
                  <c:v>-14042.736730155082</c:v>
                </c:pt>
                <c:pt idx="25">
                  <c:v>-14089.313319871055</c:v>
                </c:pt>
                <c:pt idx="26">
                  <c:v>-14230.539930592817</c:v>
                </c:pt>
                <c:pt idx="27">
                  <c:v>-14457.538875876415</c:v>
                </c:pt>
                <c:pt idx="28">
                  <c:v>-14760.816698128692</c:v>
                </c:pt>
                <c:pt idx="29">
                  <c:v>-15130.264168607318</c:v>
                </c:pt>
                <c:pt idx="30">
                  <c:v>-15555.156287420752</c:v>
                </c:pt>
                <c:pt idx="31">
                  <c:v>-16024.152283528289</c:v>
                </c:pt>
                <c:pt idx="32">
                  <c:v>-16525.295614739996</c:v>
                </c:pt>
                <c:pt idx="33">
                  <c:v>-17046.013967716783</c:v>
                </c:pt>
                <c:pt idx="34">
                  <c:v>-17573.11925797036</c:v>
                </c:pt>
                <c:pt idx="35">
                  <c:v>-18092.807629863226</c:v>
                </c:pt>
                <c:pt idx="36">
                  <c:v>-18590.659456608726</c:v>
                </c:pt>
                <c:pt idx="37">
                  <c:v>-19051.639340270973</c:v>
                </c:pt>
                <c:pt idx="38">
                  <c:v>-19460.096111764935</c:v>
                </c:pt>
                <c:pt idx="39">
                  <c:v>-19799.762830856343</c:v>
                </c:pt>
                <c:pt idx="40">
                  <c:v>-20053.756786161772</c:v>
                </c:pt>
                <c:pt idx="41">
                  <c:v>-20204.57949514858</c:v>
                </c:pt>
                <c:pt idx="42">
                  <c:v>-20234.116704134969</c:v>
                </c:pt>
                <c:pt idx="43">
                  <c:v>-20123.63838828991</c:v>
                </c:pt>
                <c:pt idx="44">
                  <c:v>-19853.798751633221</c:v>
                </c:pt>
                <c:pt idx="45">
                  <c:v>-19404.63622703548</c:v>
                </c:pt>
                <c:pt idx="46">
                  <c:v>-18755.573476218131</c:v>
                </c:pt>
                <c:pt idx="47">
                  <c:v>-17885.417389753391</c:v>
                </c:pt>
                <c:pt idx="48">
                  <c:v>-16772.359087064302</c:v>
                </c:pt>
                <c:pt idx="49">
                  <c:v>-15393.973916424693</c:v>
                </c:pt>
                <c:pt idx="50">
                  <c:v>-13727.221454959246</c:v>
                </c:pt>
                <c:pt idx="51">
                  <c:v>-11748.445508643403</c:v>
                </c:pt>
                <c:pt idx="52">
                  <c:v>-9433.3741123034633</c:v>
                </c:pt>
                <c:pt idx="53">
                  <c:v>-6757.119529616466</c:v>
                </c:pt>
                <c:pt idx="54">
                  <c:v>-3694.1782531103527</c:v>
                </c:pt>
                <c:pt idx="55">
                  <c:v>-218.43100416378729</c:v>
                </c:pt>
                <c:pt idx="56">
                  <c:v>3696.8572669936766</c:v>
                </c:pt>
                <c:pt idx="57">
                  <c:v>8079.0373812818361</c:v>
                </c:pt>
                <c:pt idx="58">
                  <c:v>12956.075930769446</c:v>
                </c:pt>
                <c:pt idx="59">
                  <c:v>18356.555278674532</c:v>
                </c:pt>
                <c:pt idx="60">
                  <c:v>24309.673559364404</c:v>
                </c:pt>
                <c:pt idx="61">
                  <c:v>30845.244678355644</c:v>
                </c:pt>
                <c:pt idx="62">
                  <c:v>37993.698312313623</c:v>
                </c:pt>
                <c:pt idx="63">
                  <c:v>45786.079909053289</c:v>
                </c:pt>
                <c:pt idx="64">
                  <c:v>54254.050687538787</c:v>
                </c:pt>
                <c:pt idx="65">
                  <c:v>63429.887637883199</c:v>
                </c:pt>
                <c:pt idx="66">
                  <c:v>73346.483521348797</c:v>
                </c:pt>
                <c:pt idx="67">
                  <c:v>84037.346870347334</c:v>
                </c:pt>
                <c:pt idx="68">
                  <c:v>95536.601988439623</c:v>
                </c:pt>
                <c:pt idx="69">
                  <c:v>107878.98895033542</c:v>
                </c:pt>
                <c:pt idx="70">
                  <c:v>121099.86360189423</c:v>
                </c:pt>
                <c:pt idx="71">
                  <c:v>135235.19756012404</c:v>
                </c:pt>
                <c:pt idx="72">
                  <c:v>150321.57821318266</c:v>
                </c:pt>
                <c:pt idx="73">
                  <c:v>166396.20872037669</c:v>
                </c:pt>
                <c:pt idx="74">
                  <c:v>183496.90801216182</c:v>
                </c:pt>
                <c:pt idx="75">
                  <c:v>201662.11079014378</c:v>
                </c:pt>
                <c:pt idx="76">
                  <c:v>220930.86752707616</c:v>
                </c:pt>
                <c:pt idx="77">
                  <c:v>241342.84446686317</c:v>
                </c:pt>
                <c:pt idx="78">
                  <c:v>262938.32362455677</c:v>
                </c:pt>
                <c:pt idx="79">
                  <c:v>285758.20278635959</c:v>
                </c:pt>
                <c:pt idx="80">
                  <c:v>309843.99550962192</c:v>
                </c:pt>
                <c:pt idx="81">
                  <c:v>335237.83112284448</c:v>
                </c:pt>
                <c:pt idx="82">
                  <c:v>361982.45472567691</c:v>
                </c:pt>
                <c:pt idx="83">
                  <c:v>390121.22718891734</c:v>
                </c:pt>
                <c:pt idx="84">
                  <c:v>419698.1251545141</c:v>
                </c:pt>
                <c:pt idx="85">
                  <c:v>450757.74103556341</c:v>
                </c:pt>
                <c:pt idx="86">
                  <c:v>483345.28301631263</c:v>
                </c:pt>
                <c:pt idx="87">
                  <c:v>517506.57505215623</c:v>
                </c:pt>
                <c:pt idx="88">
                  <c:v>553288.05686963897</c:v>
                </c:pt>
                <c:pt idx="89">
                  <c:v>590736.78396645514</c:v>
                </c:pt>
                <c:pt idx="90">
                  <c:v>629900.42761144706</c:v>
                </c:pt>
                <c:pt idx="91">
                  <c:v>670827.27484460769</c:v>
                </c:pt>
                <c:pt idx="92">
                  <c:v>713566.22847707721</c:v>
                </c:pt>
                <c:pt idx="93">
                  <c:v>758166.80709114752</c:v>
                </c:pt>
                <c:pt idx="94">
                  <c:v>804679.14504025702</c:v>
                </c:pt>
                <c:pt idx="95">
                  <c:v>853153.99244899594</c:v>
                </c:pt>
                <c:pt idx="96">
                  <c:v>903642.71521310112</c:v>
                </c:pt>
                <c:pt idx="97">
                  <c:v>956197.29499946081</c:v>
                </c:pt>
                <c:pt idx="98">
                  <c:v>1010870.3292461118</c:v>
                </c:pt>
                <c:pt idx="99">
                  <c:v>1067715.0311622382</c:v>
                </c:pt>
                <c:pt idx="100">
                  <c:v>1126785.2297281767</c:v>
                </c:pt>
              </c:numCache>
            </c:numRef>
          </c:yVal>
          <c:smooth val="1"/>
          <c:extLst>
            <c:ext xmlns:c16="http://schemas.microsoft.com/office/drawing/2014/chart" uri="{C3380CC4-5D6E-409C-BE32-E72D297353CC}">
              <c16:uniqueId val="{00000000-F841-4D34-9325-1D13328A432E}"/>
            </c:ext>
          </c:extLst>
        </c:ser>
        <c:ser>
          <c:idx val="1"/>
          <c:order val="1"/>
          <c:tx>
            <c:v>計算区間</c:v>
          </c:tx>
          <c:spPr>
            <a:ln w="19050" cap="rnd">
              <a:solidFill>
                <a:schemeClr val="accent2"/>
              </a:solidFill>
              <a:round/>
            </a:ln>
            <a:effectLst/>
          </c:spPr>
          <c:marker>
            <c:symbol val="none"/>
          </c:marker>
          <c:xVal>
            <c:numRef>
              <c:f>D_5!$AU$15:$AU$1015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D_5!$AT$15:$AT$1015</c:f>
              <c:numCache>
                <c:formatCode>General</c:formatCode>
                <c:ptCount val="1001"/>
                <c:pt idx="0">
                  <c:v>-14089.313319871055</c:v>
                </c:pt>
                <c:pt idx="1">
                  <c:v>-14148.635795872651</c:v>
                </c:pt>
                <c:pt idx="2">
                  <c:v>-14230.539930592817</c:v>
                </c:pt>
                <c:pt idx="3">
                  <c:v>-14333.896770377643</c:v>
                </c:pt>
                <c:pt idx="4">
                  <c:v>-14457.538875876413</c:v>
                </c:pt>
                <c:pt idx="5">
                  <c:v>-14600.260322041555</c:v>
                </c:pt>
                <c:pt idx="6">
                  <c:v>-14760.816698128692</c:v>
                </c:pt>
                <c:pt idx="7">
                  <c:v>-14937.925107696628</c:v>
                </c:pt>
                <c:pt idx="8">
                  <c:v>-15130.264168607322</c:v>
                </c:pt>
                <c:pt idx="9">
                  <c:v>-15336.474013025923</c:v>
                </c:pt>
                <c:pt idx="10">
                  <c:v>-15555.156287420756</c:v>
                </c:pt>
                <c:pt idx="11">
                  <c:v>-15784.87415256332</c:v>
                </c:pt>
                <c:pt idx="12">
                  <c:v>-16024.152283528289</c:v>
                </c:pt>
                <c:pt idx="13">
                  <c:v>-16271.476869693506</c:v>
                </c:pt>
                <c:pt idx="14">
                  <c:v>-16525.295614739996</c:v>
                </c:pt>
                <c:pt idx="15">
                  <c:v>-16784.017736651967</c:v>
                </c:pt>
                <c:pt idx="16">
                  <c:v>-17046.013967716783</c:v>
                </c:pt>
                <c:pt idx="17">
                  <c:v>-17309.616554525008</c:v>
                </c:pt>
                <c:pt idx="18">
                  <c:v>-17573.11925797036</c:v>
                </c:pt>
                <c:pt idx="19">
                  <c:v>-17834.777353249738</c:v>
                </c:pt>
                <c:pt idx="20">
                  <c:v>-18092.807629863226</c:v>
                </c:pt>
                <c:pt idx="21">
                  <c:v>-18345.388391614077</c:v>
                </c:pt>
                <c:pt idx="22">
                  <c:v>-18590.659456608722</c:v>
                </c:pt>
                <c:pt idx="23">
                  <c:v>-18826.722157256758</c:v>
                </c:pt>
                <c:pt idx="24">
                  <c:v>-19051.63934027098</c:v>
                </c:pt>
                <c:pt idx="25">
                  <c:v>-19263.435366667334</c:v>
                </c:pt>
                <c:pt idx="26">
                  <c:v>-19460.096111764928</c:v>
                </c:pt>
                <c:pt idx="27">
                  <c:v>-19639.568965186118</c:v>
                </c:pt>
                <c:pt idx="28">
                  <c:v>-19799.762830856343</c:v>
                </c:pt>
                <c:pt idx="29">
                  <c:v>-19938.548127004287</c:v>
                </c:pt>
                <c:pt idx="30">
                  <c:v>-20053.756786161772</c:v>
                </c:pt>
                <c:pt idx="31">
                  <c:v>-20143.182255163803</c:v>
                </c:pt>
                <c:pt idx="32">
                  <c:v>-20204.57949514858</c:v>
                </c:pt>
                <c:pt idx="33">
                  <c:v>-20235.664981557464</c:v>
                </c:pt>
                <c:pt idx="34">
                  <c:v>-20234.116704134969</c:v>
                </c:pt>
                <c:pt idx="35">
                  <c:v>-20197.574166928833</c:v>
                </c:pt>
                <c:pt idx="36">
                  <c:v>-20123.63838828991</c:v>
                </c:pt>
                <c:pt idx="37">
                  <c:v>-20009.871900872291</c:v>
                </c:pt>
                <c:pt idx="38">
                  <c:v>-19853.798751633214</c:v>
                </c:pt>
                <c:pt idx="39">
                  <c:v>-19652.904501833087</c:v>
                </c:pt>
                <c:pt idx="40">
                  <c:v>-19404.636227035488</c:v>
                </c:pt>
                <c:pt idx="41">
                  <c:v>-19106.402517107192</c:v>
                </c:pt>
                <c:pt idx="42">
                  <c:v>-18755.573476218131</c:v>
                </c:pt>
                <c:pt idx="43">
                  <c:v>-18349.480722841436</c:v>
                </c:pt>
                <c:pt idx="44">
                  <c:v>-17885.417389753391</c:v>
                </c:pt>
                <c:pt idx="45">
                  <c:v>-17360.638124033467</c:v>
                </c:pt>
                <c:pt idx="46">
                  <c:v>-16772.359087064302</c:v>
                </c:pt>
                <c:pt idx="47">
                  <c:v>-16117.757954531706</c:v>
                </c:pt>
                <c:pt idx="48">
                  <c:v>-15393.973916424693</c:v>
                </c:pt>
                <c:pt idx="49">
                  <c:v>-14598.107677035434</c:v>
                </c:pt>
                <c:pt idx="50">
                  <c:v>-13727.221454959246</c:v>
                </c:pt>
                <c:pt idx="51">
                  <c:v>-12778.338983094669</c:v>
                </c:pt>
                <c:pt idx="52">
                  <c:v>-11748.445508643403</c:v>
                </c:pt>
                <c:pt idx="53">
                  <c:v>-10634.487793110318</c:v>
                </c:pt>
                <c:pt idx="54">
                  <c:v>-9433.3741123034633</c:v>
                </c:pt>
                <c:pt idx="55">
                  <c:v>-8141.9742563340333</c:v>
                </c:pt>
                <c:pt idx="56">
                  <c:v>-6757.119529616466</c:v>
                </c:pt>
                <c:pt idx="57">
                  <c:v>-5275.6027508683037</c:v>
                </c:pt>
                <c:pt idx="58">
                  <c:v>-3694.1782531103163</c:v>
                </c:pt>
                <c:pt idx="59">
                  <c:v>-2009.5618836664507</c:v>
                </c:pt>
                <c:pt idx="60">
                  <c:v>-218.43100416378729</c:v>
                </c:pt>
                <c:pt idx="61">
                  <c:v>1682.575509467446</c:v>
                </c:pt>
                <c:pt idx="62">
                  <c:v>3696.8572669937203</c:v>
                </c:pt>
                <c:pt idx="63">
                  <c:v>5827.8523638784318</c:v>
                </c:pt>
                <c:pt idx="64">
                  <c:v>8079.0373812818361</c:v>
                </c:pt>
                <c:pt idx="65">
                  <c:v>10453.927386060888</c:v>
                </c:pt>
                <c:pt idx="66">
                  <c:v>12956.075930769388</c:v>
                </c:pt>
                <c:pt idx="67">
                  <c:v>15589.07505365814</c:v>
                </c:pt>
                <c:pt idx="68">
                  <c:v>18356.555278674532</c:v>
                </c:pt>
                <c:pt idx="69">
                  <c:v>21262.185615462899</c:v>
                </c:pt>
                <c:pt idx="70">
                  <c:v>24309.673559364448</c:v>
                </c:pt>
                <c:pt idx="71">
                  <c:v>27502.765091417088</c:v>
                </c:pt>
                <c:pt idx="72">
                  <c:v>30845.244678355644</c:v>
                </c:pt>
                <c:pt idx="73">
                  <c:v>34340.935272611627</c:v>
                </c:pt>
                <c:pt idx="74">
                  <c:v>37993.698312313623</c:v>
                </c:pt>
                <c:pt idx="75">
                  <c:v>41807.433721286819</c:v>
                </c:pt>
                <c:pt idx="76">
                  <c:v>45786.079909053333</c:v>
                </c:pt>
                <c:pt idx="77">
                  <c:v>49933.61377083214</c:v>
                </c:pt>
                <c:pt idx="78">
                  <c:v>54254.050687538787</c:v>
                </c:pt>
                <c:pt idx="79">
                  <c:v>58751.444525785999</c:v>
                </c:pt>
                <c:pt idx="80">
                  <c:v>63429.887637883126</c:v>
                </c:pt>
                <c:pt idx="81">
                  <c:v>68293.510861836345</c:v>
                </c:pt>
                <c:pt idx="82">
                  <c:v>73346.483521348797</c:v>
                </c:pt>
                <c:pt idx="83">
                  <c:v>78593.013425820187</c:v>
                </c:pt>
                <c:pt idx="84">
                  <c:v>84037.346870347363</c:v>
                </c:pt>
                <c:pt idx="85">
                  <c:v>89683.768635723711</c:v>
                </c:pt>
                <c:pt idx="86">
                  <c:v>95536.601988439623</c:v>
                </c:pt>
                <c:pt idx="87">
                  <c:v>101600.2086806822</c:v>
                </c:pt>
                <c:pt idx="88">
                  <c:v>107878.98895033542</c:v>
                </c:pt>
                <c:pt idx="89">
                  <c:v>114377.3815209803</c:v>
                </c:pt>
                <c:pt idx="90">
                  <c:v>121099.86360189409</c:v>
                </c:pt>
                <c:pt idx="91">
                  <c:v>128050.95088805171</c:v>
                </c:pt>
                <c:pt idx="92">
                  <c:v>135235.19756012404</c:v>
                </c:pt>
                <c:pt idx="93">
                  <c:v>142657.19628447943</c:v>
                </c:pt>
                <c:pt idx="94">
                  <c:v>150321.57821318266</c:v>
                </c:pt>
                <c:pt idx="95">
                  <c:v>158233.01298399555</c:v>
                </c:pt>
                <c:pt idx="96">
                  <c:v>166396.20872037669</c:v>
                </c:pt>
                <c:pt idx="97">
                  <c:v>174815.91203148128</c:v>
                </c:pt>
                <c:pt idx="98">
                  <c:v>183496.90801216193</c:v>
                </c:pt>
                <c:pt idx="99">
                  <c:v>192444.02024296744</c:v>
                </c:pt>
                <c:pt idx="100">
                  <c:v>201662.11079014378</c:v>
                </c:pt>
              </c:numCache>
            </c:numRef>
          </c:yVal>
          <c:smooth val="1"/>
          <c:extLst>
            <c:ext xmlns:c16="http://schemas.microsoft.com/office/drawing/2014/chart" uri="{C3380CC4-5D6E-409C-BE32-E72D297353CC}">
              <c16:uniqueId val="{00000001-F841-4D34-9325-1D13328A432E}"/>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tx>
            <c:v>計算区間</c:v>
          </c:tx>
          <c:spPr>
            <a:ln w="19050" cap="rnd">
              <a:solidFill>
                <a:schemeClr val="accent2"/>
              </a:solidFill>
              <a:round/>
            </a:ln>
            <a:effectLst/>
          </c:spPr>
          <c:marker>
            <c:symbol val="none"/>
          </c:marker>
          <c:xVal>
            <c:numRef>
              <c:f>D_6!$AU$15:$AU$1015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D_6!$AT$15:$AT$1015</c:f>
              <c:numCache>
                <c:formatCode>General</c:formatCode>
                <c:ptCount val="1001"/>
                <c:pt idx="0">
                  <c:v>-27731.382935248817</c:v>
                </c:pt>
                <c:pt idx="1">
                  <c:v>-27523.469543051473</c:v>
                </c:pt>
                <c:pt idx="2">
                  <c:v>-27349.601574876317</c:v>
                </c:pt>
                <c:pt idx="3">
                  <c:v>-27208.628260531827</c:v>
                </c:pt>
                <c:pt idx="4">
                  <c:v>-27099.360344129644</c:v>
                </c:pt>
                <c:pt idx="5">
                  <c:v>-27020.570084084622</c:v>
                </c:pt>
                <c:pt idx="6">
                  <c:v>-26970.99125311476</c:v>
                </c:pt>
                <c:pt idx="7">
                  <c:v>-26949.319138241233</c:v>
                </c:pt>
                <c:pt idx="8">
                  <c:v>-26954.210540788408</c:v>
                </c:pt>
                <c:pt idx="9">
                  <c:v>-26984.283776383825</c:v>
                </c:pt>
                <c:pt idx="10">
                  <c:v>-27038.118674958183</c:v>
                </c:pt>
                <c:pt idx="11">
                  <c:v>-27114.256580745368</c:v>
                </c:pt>
                <c:pt idx="12">
                  <c:v>-27211.200352282456</c:v>
                </c:pt>
                <c:pt idx="13">
                  <c:v>-27327.414362409669</c:v>
                </c:pt>
                <c:pt idx="14">
                  <c:v>-27461.324498270413</c:v>
                </c:pt>
                <c:pt idx="15">
                  <c:v>-27611.318161311305</c:v>
                </c:pt>
                <c:pt idx="16">
                  <c:v>-27775.744267282083</c:v>
                </c:pt>
                <c:pt idx="17">
                  <c:v>-27952.913246235687</c:v>
                </c:pt>
                <c:pt idx="18">
                  <c:v>-28141.097042528236</c:v>
                </c:pt>
                <c:pt idx="19">
                  <c:v>-28338.52911481903</c:v>
                </c:pt>
                <c:pt idx="20">
                  <c:v>-28543.404436070537</c:v>
                </c:pt>
                <c:pt idx="21">
                  <c:v>-28753.879493548367</c:v>
                </c:pt>
                <c:pt idx="22">
                  <c:v>-28968.072288821371</c:v>
                </c:pt>
                <c:pt idx="23">
                  <c:v>-29184.062337761527</c:v>
                </c:pt>
                <c:pt idx="24">
                  <c:v>-29399.890670544002</c:v>
                </c:pt>
                <c:pt idx="25">
                  <c:v>-29613.559831647151</c:v>
                </c:pt>
                <c:pt idx="26">
                  <c:v>-29823.033879852468</c:v>
                </c:pt>
                <c:pt idx="27">
                  <c:v>-30026.238388244681</c:v>
                </c:pt>
                <c:pt idx="28">
                  <c:v>-30221.060444211638</c:v>
                </c:pt>
                <c:pt idx="29">
                  <c:v>-30405.348649444401</c:v>
                </c:pt>
                <c:pt idx="30">
                  <c:v>-30576.913119937177</c:v>
                </c:pt>
                <c:pt idx="31">
                  <c:v>-30733.525485987375</c:v>
                </c:pt>
                <c:pt idx="32">
                  <c:v>-30872.918892195543</c:v>
                </c:pt>
                <c:pt idx="33">
                  <c:v>-30992.787997465457</c:v>
                </c:pt>
                <c:pt idx="34">
                  <c:v>-31090.788975004056</c:v>
                </c:pt>
                <c:pt idx="35">
                  <c:v>-31164.539512321382</c:v>
                </c:pt>
                <c:pt idx="36">
                  <c:v>-31211.61881123075</c:v>
                </c:pt>
                <c:pt idx="37">
                  <c:v>-31229.567587848614</c:v>
                </c:pt>
                <c:pt idx="38">
                  <c:v>-31215.888072594571</c:v>
                </c:pt>
                <c:pt idx="39">
                  <c:v>-31168.044010191465</c:v>
                </c:pt>
                <c:pt idx="40">
                  <c:v>-31083.460659665237</c:v>
                </c:pt>
                <c:pt idx="41">
                  <c:v>-30959.524794345059</c:v>
                </c:pt>
                <c:pt idx="42">
                  <c:v>-30793.584701863256</c:v>
                </c:pt>
                <c:pt idx="43">
                  <c:v>-30582.950184155336</c:v>
                </c:pt>
                <c:pt idx="44">
                  <c:v>-30324.892557459949</c:v>
                </c:pt>
                <c:pt idx="45">
                  <c:v>-30016.644652319002</c:v>
                </c:pt>
                <c:pt idx="46">
                  <c:v>-29655.400813577486</c:v>
                </c:pt>
                <c:pt idx="47">
                  <c:v>-29238.316900383616</c:v>
                </c:pt>
                <c:pt idx="48">
                  <c:v>-28762.510286188794</c:v>
                </c:pt>
                <c:pt idx="49">
                  <c:v>-28225.059858747562</c:v>
                </c:pt>
                <c:pt idx="50">
                  <c:v>-27623.006020117631</c:v>
                </c:pt>
                <c:pt idx="51">
                  <c:v>-26953.350686659942</c:v>
                </c:pt>
                <c:pt idx="52">
                  <c:v>-26213.057289038574</c:v>
                </c:pt>
                <c:pt idx="53">
                  <c:v>-25399.050772220762</c:v>
                </c:pt>
                <c:pt idx="54">
                  <c:v>-24508.217595477014</c:v>
                </c:pt>
                <c:pt idx="55">
                  <c:v>-23537.405732380845</c:v>
                </c:pt>
                <c:pt idx="56">
                  <c:v>-22483.424670809101</c:v>
                </c:pt>
                <c:pt idx="57">
                  <c:v>-21343.045412941727</c:v>
                </c:pt>
                <c:pt idx="58">
                  <c:v>-20113.000475261819</c:v>
                </c:pt>
                <c:pt idx="59">
                  <c:v>-18789.98388855582</c:v>
                </c:pt>
                <c:pt idx="60">
                  <c:v>-17370.651197913081</c:v>
                </c:pt>
                <c:pt idx="61">
                  <c:v>-15851.619462726296</c:v>
                </c:pt>
                <c:pt idx="62">
                  <c:v>-14229.467256691387</c:v>
                </c:pt>
                <c:pt idx="63">
                  <c:v>-12500.734667807301</c:v>
                </c:pt>
                <c:pt idx="64">
                  <c:v>-10661.923298376198</c:v>
                </c:pt>
                <c:pt idx="65">
                  <c:v>-8709.4962650035086</c:v>
                </c:pt>
                <c:pt idx="66">
                  <c:v>-6639.8781985977766</c:v>
                </c:pt>
                <c:pt idx="67">
                  <c:v>-4449.4552443706561</c:v>
                </c:pt>
                <c:pt idx="68">
                  <c:v>-2134.5750618371167</c:v>
                </c:pt>
                <c:pt idx="69">
                  <c:v>308.45317518484808</c:v>
                </c:pt>
                <c:pt idx="70">
                  <c:v>2883.3587785739292</c:v>
                </c:pt>
                <c:pt idx="71">
                  <c:v>5593.9095459057207</c:v>
                </c:pt>
                <c:pt idx="72">
                  <c:v>8443.9117604526618</c:v>
                </c:pt>
                <c:pt idx="73">
                  <c:v>11437.21019118392</c:v>
                </c:pt>
                <c:pt idx="74">
                  <c:v>14577.688092765595</c:v>
                </c:pt>
                <c:pt idx="75">
                  <c:v>17869.267205560573</c:v>
                </c:pt>
                <c:pt idx="76">
                  <c:v>21315.907755628483</c:v>
                </c:pt>
                <c:pt idx="77">
                  <c:v>24921.608454726047</c:v>
                </c:pt>
                <c:pt idx="78">
                  <c:v>28690.406500306322</c:v>
                </c:pt>
                <c:pt idx="79">
                  <c:v>32626.377575519662</c:v>
                </c:pt>
                <c:pt idx="80">
                  <c:v>36733.635849213046</c:v>
                </c:pt>
                <c:pt idx="81">
                  <c:v>41016.333975930254</c:v>
                </c:pt>
                <c:pt idx="82">
                  <c:v>45478.663095912074</c:v>
                </c:pt>
                <c:pt idx="83">
                  <c:v>50124.852835095771</c:v>
                </c:pt>
                <c:pt idx="84">
                  <c:v>54959.171305115764</c:v>
                </c:pt>
                <c:pt idx="85">
                  <c:v>59985.925103303183</c:v>
                </c:pt>
                <c:pt idx="86">
                  <c:v>65209.45931268602</c:v>
                </c:pt>
                <c:pt idx="87">
                  <c:v>70634.157501988782</c:v>
                </c:pt>
                <c:pt idx="88">
                  <c:v>76264.44172563334</c:v>
                </c:pt>
                <c:pt idx="89">
                  <c:v>82104.772523738153</c:v>
                </c:pt>
                <c:pt idx="90">
                  <c:v>88159.648922118096</c:v>
                </c:pt>
                <c:pt idx="91">
                  <c:v>94433.60843228575</c:v>
                </c:pt>
                <c:pt idx="92">
                  <c:v>100931.22705144953</c:v>
                </c:pt>
                <c:pt idx="93">
                  <c:v>107657.11926251548</c:v>
                </c:pt>
                <c:pt idx="94">
                  <c:v>114615.93803408596</c:v>
                </c:pt>
                <c:pt idx="95">
                  <c:v>121812.37482046039</c:v>
                </c:pt>
                <c:pt idx="96">
                  <c:v>129251.15956163502</c:v>
                </c:pt>
                <c:pt idx="97">
                  <c:v>136937.0606833027</c:v>
                </c:pt>
                <c:pt idx="98">
                  <c:v>144874.88509685354</c:v>
                </c:pt>
                <c:pt idx="99">
                  <c:v>153069.47819937381</c:v>
                </c:pt>
                <c:pt idx="100">
                  <c:v>161525.72387364745</c:v>
                </c:pt>
              </c:numCache>
            </c:numRef>
          </c:yVal>
          <c:smooth val="1"/>
          <c:extLst>
            <c:ext xmlns:c16="http://schemas.microsoft.com/office/drawing/2014/chart" uri="{C3380CC4-5D6E-409C-BE32-E72D297353CC}">
              <c16:uniqueId val="{00000000-AB59-4275-A34D-611EAA7BA699}"/>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外挿区間</c:v>
          </c:tx>
          <c:spPr>
            <a:ln w="12700" cap="rnd">
              <a:solidFill>
                <a:schemeClr val="accent1"/>
              </a:solidFill>
              <a:prstDash val="sysDash"/>
              <a:round/>
            </a:ln>
            <a:effectLst/>
          </c:spPr>
          <c:marker>
            <c:symbol val="none"/>
          </c:marker>
          <c:xVal>
            <c:numRef>
              <c:f>D_6!$AR$15:$AR$1015</c:f>
              <c:numCache>
                <c:formatCode>General</c:formatCode>
                <c:ptCount val="1001"/>
                <c:pt idx="0">
                  <c:v>-6</c:v>
                </c:pt>
                <c:pt idx="1">
                  <c:v>-5.52</c:v>
                </c:pt>
                <c:pt idx="2">
                  <c:v>-5.04</c:v>
                </c:pt>
                <c:pt idx="3">
                  <c:v>-4.5600000000000005</c:v>
                </c:pt>
                <c:pt idx="4">
                  <c:v>-4.08</c:v>
                </c:pt>
                <c:pt idx="5">
                  <c:v>-3.5999999999999996</c:v>
                </c:pt>
                <c:pt idx="6">
                  <c:v>-3.120000000000001</c:v>
                </c:pt>
                <c:pt idx="7">
                  <c:v>-2.6400000000000006</c:v>
                </c:pt>
                <c:pt idx="8">
                  <c:v>-2.16</c:v>
                </c:pt>
                <c:pt idx="9">
                  <c:v>-1.6799999999999997</c:v>
                </c:pt>
                <c:pt idx="10">
                  <c:v>-1.1999999999999993</c:v>
                </c:pt>
                <c:pt idx="11">
                  <c:v>-0.72000000000000064</c:v>
                </c:pt>
                <c:pt idx="12">
                  <c:v>-0.24000000000000021</c:v>
                </c:pt>
                <c:pt idx="13">
                  <c:v>0.24000000000000021</c:v>
                </c:pt>
                <c:pt idx="14">
                  <c:v>0.71999999999999886</c:v>
                </c:pt>
                <c:pt idx="15">
                  <c:v>1.1999999999999993</c:v>
                </c:pt>
                <c:pt idx="16">
                  <c:v>1.6799999999999997</c:v>
                </c:pt>
                <c:pt idx="17">
                  <c:v>2.16</c:v>
                </c:pt>
                <c:pt idx="18">
                  <c:v>2.6400000000000006</c:v>
                </c:pt>
                <c:pt idx="19">
                  <c:v>3.1199999999999992</c:v>
                </c:pt>
                <c:pt idx="20">
                  <c:v>3.5999999999999996</c:v>
                </c:pt>
                <c:pt idx="21">
                  <c:v>4.0799999999999983</c:v>
                </c:pt>
                <c:pt idx="22">
                  <c:v>4.5599999999999987</c:v>
                </c:pt>
                <c:pt idx="23">
                  <c:v>5.0399999999999991</c:v>
                </c:pt>
                <c:pt idx="24">
                  <c:v>5.52</c:v>
                </c:pt>
                <c:pt idx="25">
                  <c:v>6</c:v>
                </c:pt>
                <c:pt idx="26">
                  <c:v>6.48</c:v>
                </c:pt>
                <c:pt idx="27">
                  <c:v>6.9600000000000009</c:v>
                </c:pt>
                <c:pt idx="28">
                  <c:v>7.4399999999999977</c:v>
                </c:pt>
                <c:pt idx="29">
                  <c:v>7.9200000000000017</c:v>
                </c:pt>
                <c:pt idx="30">
                  <c:v>8.3999999999999986</c:v>
                </c:pt>
                <c:pt idx="31">
                  <c:v>8.879999999999999</c:v>
                </c:pt>
                <c:pt idx="32">
                  <c:v>9.36</c:v>
                </c:pt>
                <c:pt idx="33">
                  <c:v>9.84</c:v>
                </c:pt>
                <c:pt idx="34">
                  <c:v>10.32</c:v>
                </c:pt>
                <c:pt idx="35">
                  <c:v>10.8</c:v>
                </c:pt>
                <c:pt idx="36">
                  <c:v>11.280000000000001</c:v>
                </c:pt>
                <c:pt idx="37">
                  <c:v>11.759999999999998</c:v>
                </c:pt>
                <c:pt idx="38">
                  <c:v>12.239999999999998</c:v>
                </c:pt>
                <c:pt idx="39">
                  <c:v>12.719999999999999</c:v>
                </c:pt>
                <c:pt idx="40">
                  <c:v>13.2</c:v>
                </c:pt>
                <c:pt idx="41">
                  <c:v>13.68</c:v>
                </c:pt>
                <c:pt idx="42">
                  <c:v>14.16</c:v>
                </c:pt>
                <c:pt idx="43">
                  <c:v>14.64</c:v>
                </c:pt>
                <c:pt idx="44">
                  <c:v>15.119999999999997</c:v>
                </c:pt>
                <c:pt idx="45">
                  <c:v>15.599999999999998</c:v>
                </c:pt>
                <c:pt idx="46">
                  <c:v>16.079999999999998</c:v>
                </c:pt>
                <c:pt idx="47">
                  <c:v>16.559999999999999</c:v>
                </c:pt>
                <c:pt idx="48">
                  <c:v>17.04</c:v>
                </c:pt>
                <c:pt idx="49">
                  <c:v>17.52</c:v>
                </c:pt>
                <c:pt idx="50">
                  <c:v>18</c:v>
                </c:pt>
                <c:pt idx="51">
                  <c:v>18.48</c:v>
                </c:pt>
                <c:pt idx="52">
                  <c:v>18.96</c:v>
                </c:pt>
                <c:pt idx="53">
                  <c:v>19.439999999999998</c:v>
                </c:pt>
                <c:pt idx="54">
                  <c:v>19.919999999999998</c:v>
                </c:pt>
                <c:pt idx="55">
                  <c:v>20.399999999999999</c:v>
                </c:pt>
                <c:pt idx="56">
                  <c:v>20.879999999999995</c:v>
                </c:pt>
                <c:pt idx="57">
                  <c:v>21.36</c:v>
                </c:pt>
                <c:pt idx="58">
                  <c:v>21.840000000000003</c:v>
                </c:pt>
                <c:pt idx="59">
                  <c:v>22.32</c:v>
                </c:pt>
                <c:pt idx="60">
                  <c:v>22.799999999999997</c:v>
                </c:pt>
                <c:pt idx="61">
                  <c:v>23.28</c:v>
                </c:pt>
                <c:pt idx="62">
                  <c:v>23.759999999999998</c:v>
                </c:pt>
                <c:pt idx="63">
                  <c:v>24.239999999999995</c:v>
                </c:pt>
                <c:pt idx="64">
                  <c:v>24.72</c:v>
                </c:pt>
                <c:pt idx="65">
                  <c:v>25.200000000000003</c:v>
                </c:pt>
                <c:pt idx="66">
                  <c:v>25.68</c:v>
                </c:pt>
                <c:pt idx="67">
                  <c:v>26.159999999999997</c:v>
                </c:pt>
                <c:pt idx="68">
                  <c:v>26.64</c:v>
                </c:pt>
                <c:pt idx="69">
                  <c:v>27.119999999999997</c:v>
                </c:pt>
                <c:pt idx="70">
                  <c:v>27.6</c:v>
                </c:pt>
                <c:pt idx="71">
                  <c:v>28.08</c:v>
                </c:pt>
                <c:pt idx="72">
                  <c:v>28.560000000000002</c:v>
                </c:pt>
                <c:pt idx="73">
                  <c:v>29.04</c:v>
                </c:pt>
                <c:pt idx="74">
                  <c:v>29.519999999999996</c:v>
                </c:pt>
                <c:pt idx="75">
                  <c:v>30</c:v>
                </c:pt>
                <c:pt idx="76">
                  <c:v>30.479999999999997</c:v>
                </c:pt>
                <c:pt idx="77">
                  <c:v>30.96</c:v>
                </c:pt>
                <c:pt idx="78">
                  <c:v>31.439999999999998</c:v>
                </c:pt>
                <c:pt idx="79">
                  <c:v>31.92</c:v>
                </c:pt>
                <c:pt idx="80">
                  <c:v>32.4</c:v>
                </c:pt>
                <c:pt idx="81">
                  <c:v>32.879999999999995</c:v>
                </c:pt>
                <c:pt idx="82">
                  <c:v>33.36</c:v>
                </c:pt>
                <c:pt idx="83">
                  <c:v>33.839999999999996</c:v>
                </c:pt>
                <c:pt idx="84">
                  <c:v>34.32</c:v>
                </c:pt>
                <c:pt idx="85">
                  <c:v>34.799999999999997</c:v>
                </c:pt>
                <c:pt idx="86">
                  <c:v>35.28</c:v>
                </c:pt>
                <c:pt idx="87">
                  <c:v>35.76</c:v>
                </c:pt>
                <c:pt idx="88">
                  <c:v>36.239999999999995</c:v>
                </c:pt>
                <c:pt idx="89">
                  <c:v>36.72</c:v>
                </c:pt>
                <c:pt idx="90">
                  <c:v>37.199999999999996</c:v>
                </c:pt>
                <c:pt idx="91">
                  <c:v>37.68</c:v>
                </c:pt>
                <c:pt idx="92">
                  <c:v>38.159999999999997</c:v>
                </c:pt>
                <c:pt idx="93">
                  <c:v>38.64</c:v>
                </c:pt>
                <c:pt idx="94">
                  <c:v>39.119999999999997</c:v>
                </c:pt>
                <c:pt idx="95">
                  <c:v>39.6</c:v>
                </c:pt>
                <c:pt idx="96">
                  <c:v>40.08</c:v>
                </c:pt>
                <c:pt idx="97">
                  <c:v>40.559999999999995</c:v>
                </c:pt>
                <c:pt idx="98">
                  <c:v>41.04</c:v>
                </c:pt>
                <c:pt idx="99">
                  <c:v>41.519999999999996</c:v>
                </c:pt>
                <c:pt idx="100">
                  <c:v>42</c:v>
                </c:pt>
              </c:numCache>
            </c:numRef>
          </c:xVal>
          <c:yVal>
            <c:numRef>
              <c:f>D_6!$AQ$15:$AQ$1015</c:f>
              <c:numCache>
                <c:formatCode>General</c:formatCode>
                <c:ptCount val="1001"/>
                <c:pt idx="0">
                  <c:v>-95697.415233356398</c:v>
                </c:pt>
                <c:pt idx="1">
                  <c:v>-90686.164528156456</c:v>
                </c:pt>
                <c:pt idx="2">
                  <c:v>-85848.028076446499</c:v>
                </c:pt>
                <c:pt idx="3">
                  <c:v>-81188.732167062233</c:v>
                </c:pt>
                <c:pt idx="4">
                  <c:v>-76713.387317690183</c:v>
                </c:pt>
                <c:pt idx="5">
                  <c:v>-72426.488274867705</c:v>
                </c:pt>
                <c:pt idx="6">
                  <c:v>-68331.914013982954</c:v>
                </c:pt>
                <c:pt idx="7">
                  <c:v>-64432.927739274848</c:v>
                </c:pt>
                <c:pt idx="8">
                  <c:v>-60732.176883833206</c:v>
                </c:pt>
                <c:pt idx="9">
                  <c:v>-57231.693109598578</c:v>
                </c:pt>
                <c:pt idx="10">
                  <c:v>-53932.892307362366</c:v>
                </c:pt>
                <c:pt idx="11">
                  <c:v>-50836.574596766775</c:v>
                </c:pt>
                <c:pt idx="12">
                  <c:v>-47942.92432630479</c:v>
                </c:pt>
                <c:pt idx="13">
                  <c:v>-45251.510073320234</c:v>
                </c:pt>
                <c:pt idx="14">
                  <c:v>-42761.284644007741</c:v>
                </c:pt>
                <c:pt idx="15">
                  <c:v>-40470.585073412731</c:v>
                </c:pt>
                <c:pt idx="16">
                  <c:v>-38377.132625431463</c:v>
                </c:pt>
                <c:pt idx="17">
                  <c:v>-36478.032792810969</c:v>
                </c:pt>
                <c:pt idx="18">
                  <c:v>-34769.775297149135</c:v>
                </c:pt>
                <c:pt idx="19">
                  <c:v>-33248.23408889462</c:v>
                </c:pt>
                <c:pt idx="20">
                  <c:v>-31908.667347346905</c:v>
                </c:pt>
                <c:pt idx="21">
                  <c:v>-30745.717480656283</c:v>
                </c:pt>
                <c:pt idx="22">
                  <c:v>-29753.411125823848</c:v>
                </c:pt>
                <c:pt idx="23">
                  <c:v>-28925.15914870151</c:v>
                </c:pt>
                <c:pt idx="24">
                  <c:v>-28253.75664399199</c:v>
                </c:pt>
                <c:pt idx="25">
                  <c:v>-27731.382935248817</c:v>
                </c:pt>
                <c:pt idx="26">
                  <c:v>-27349.601574876317</c:v>
                </c:pt>
                <c:pt idx="27">
                  <c:v>-27099.360344129651</c:v>
                </c:pt>
                <c:pt idx="28">
                  <c:v>-26970.991253114757</c:v>
                </c:pt>
                <c:pt idx="29">
                  <c:v>-26954.210540788408</c:v>
                </c:pt>
                <c:pt idx="30">
                  <c:v>-27038.118674958183</c:v>
                </c:pt>
                <c:pt idx="31">
                  <c:v>-27211.200352282456</c:v>
                </c:pt>
                <c:pt idx="32">
                  <c:v>-27461.324498270413</c:v>
                </c:pt>
                <c:pt idx="33">
                  <c:v>-27775.744267282083</c:v>
                </c:pt>
                <c:pt idx="34">
                  <c:v>-28141.097042528236</c:v>
                </c:pt>
                <c:pt idx="35">
                  <c:v>-28543.404436070537</c:v>
                </c:pt>
                <c:pt idx="36">
                  <c:v>-28968.072288821371</c:v>
                </c:pt>
                <c:pt idx="37">
                  <c:v>-29399.890670544009</c:v>
                </c:pt>
                <c:pt idx="38">
                  <c:v>-29823.03387985249</c:v>
                </c:pt>
                <c:pt idx="39">
                  <c:v>-30221.060444211638</c:v>
                </c:pt>
                <c:pt idx="40">
                  <c:v>-30576.913119937177</c:v>
                </c:pt>
                <c:pt idx="41">
                  <c:v>-30872.918892195543</c:v>
                </c:pt>
                <c:pt idx="42">
                  <c:v>-31090.788975004056</c:v>
                </c:pt>
                <c:pt idx="43">
                  <c:v>-31211.61881123075</c:v>
                </c:pt>
                <c:pt idx="44">
                  <c:v>-31215.888072594586</c:v>
                </c:pt>
                <c:pt idx="45">
                  <c:v>-31083.460659665237</c:v>
                </c:pt>
                <c:pt idx="46">
                  <c:v>-30793.584701863256</c:v>
                </c:pt>
                <c:pt idx="47">
                  <c:v>-30324.892557459949</c:v>
                </c:pt>
                <c:pt idx="48">
                  <c:v>-29655.400813577486</c:v>
                </c:pt>
                <c:pt idx="49">
                  <c:v>-28762.510286188794</c:v>
                </c:pt>
                <c:pt idx="50">
                  <c:v>-27623.006020117631</c:v>
                </c:pt>
                <c:pt idx="51">
                  <c:v>-26213.057289038574</c:v>
                </c:pt>
                <c:pt idx="52">
                  <c:v>-24508.217595477014</c:v>
                </c:pt>
                <c:pt idx="53">
                  <c:v>-22483.424670809101</c:v>
                </c:pt>
                <c:pt idx="54">
                  <c:v>-20113.000475261877</c:v>
                </c:pt>
                <c:pt idx="55">
                  <c:v>-17370.651197913081</c:v>
                </c:pt>
                <c:pt idx="56">
                  <c:v>-14229.467256691401</c:v>
                </c:pt>
                <c:pt idx="57">
                  <c:v>-10661.923298376198</c:v>
                </c:pt>
                <c:pt idx="58">
                  <c:v>-6639.8781985977039</c:v>
                </c:pt>
                <c:pt idx="59">
                  <c:v>-2134.5750618371167</c:v>
                </c:pt>
                <c:pt idx="60">
                  <c:v>2883.3587785739001</c:v>
                </c:pt>
                <c:pt idx="61">
                  <c:v>8443.9117604526618</c:v>
                </c:pt>
                <c:pt idx="62">
                  <c:v>14577.688092765595</c:v>
                </c:pt>
                <c:pt idx="63">
                  <c:v>21315.907755628454</c:v>
                </c:pt>
                <c:pt idx="64">
                  <c:v>28690.406500306322</c:v>
                </c:pt>
                <c:pt idx="65">
                  <c:v>36733.635849213104</c:v>
                </c:pt>
                <c:pt idx="66">
                  <c:v>45478.663095912074</c:v>
                </c:pt>
                <c:pt idx="67">
                  <c:v>54959.171305115735</c:v>
                </c:pt>
                <c:pt idx="68">
                  <c:v>65209.45931268602</c:v>
                </c:pt>
                <c:pt idx="69">
                  <c:v>76264.44172563334</c:v>
                </c:pt>
                <c:pt idx="70">
                  <c:v>88159.648922118242</c:v>
                </c:pt>
                <c:pt idx="71">
                  <c:v>100931.22705144953</c:v>
                </c:pt>
                <c:pt idx="72">
                  <c:v>114615.93803408599</c:v>
                </c:pt>
                <c:pt idx="73">
                  <c:v>129251.15956163502</c:v>
                </c:pt>
                <c:pt idx="74">
                  <c:v>144874.88509685334</c:v>
                </c:pt>
                <c:pt idx="75">
                  <c:v>161525.72387364745</c:v>
                </c:pt>
                <c:pt idx="76">
                  <c:v>179242.90089707193</c:v>
                </c:pt>
                <c:pt idx="77">
                  <c:v>198066.25694333177</c:v>
                </c:pt>
                <c:pt idx="78">
                  <c:v>218036.24855978001</c:v>
                </c:pt>
                <c:pt idx="79">
                  <c:v>239193.94806492009</c:v>
                </c:pt>
                <c:pt idx="80">
                  <c:v>261581.04354840302</c:v>
                </c:pt>
                <c:pt idx="81">
                  <c:v>285239.83887103049</c:v>
                </c:pt>
                <c:pt idx="82">
                  <c:v>310213.25366475323</c:v>
                </c:pt>
                <c:pt idx="83">
                  <c:v>336544.82333267032</c:v>
                </c:pt>
                <c:pt idx="84">
                  <c:v>364278.69904903049</c:v>
                </c:pt>
                <c:pt idx="85">
                  <c:v>393459.64775923133</c:v>
                </c:pt>
                <c:pt idx="86">
                  <c:v>424133.05217982089</c:v>
                </c:pt>
                <c:pt idx="87">
                  <c:v>456344.91079849459</c:v>
                </c:pt>
                <c:pt idx="88">
                  <c:v>490141.83787409816</c:v>
                </c:pt>
                <c:pt idx="89">
                  <c:v>525571.06343662669</c:v>
                </c:pt>
                <c:pt idx="90">
                  <c:v>562680.43328722334</c:v>
                </c:pt>
                <c:pt idx="91">
                  <c:v>601518.40899818216</c:v>
                </c:pt>
                <c:pt idx="92">
                  <c:v>642134.06791294401</c:v>
                </c:pt>
                <c:pt idx="93">
                  <c:v>684577.10314610193</c:v>
                </c:pt>
                <c:pt idx="94">
                  <c:v>728897.82358339487</c:v>
                </c:pt>
                <c:pt idx="95">
                  <c:v>775147.15388171445</c:v>
                </c:pt>
                <c:pt idx="96">
                  <c:v>823376.63446909771</c:v>
                </c:pt>
                <c:pt idx="97">
                  <c:v>873638.42154473462</c:v>
                </c:pt>
                <c:pt idx="98">
                  <c:v>925985.28707896185</c:v>
                </c:pt>
                <c:pt idx="99">
                  <c:v>980470.61881326558</c:v>
                </c:pt>
                <c:pt idx="100">
                  <c:v>1037148.4202602826</c:v>
                </c:pt>
              </c:numCache>
            </c:numRef>
          </c:yVal>
          <c:smooth val="1"/>
          <c:extLst>
            <c:ext xmlns:c16="http://schemas.microsoft.com/office/drawing/2014/chart" uri="{C3380CC4-5D6E-409C-BE32-E72D297353CC}">
              <c16:uniqueId val="{00000000-1F8D-489F-B60E-656D523A1488}"/>
            </c:ext>
          </c:extLst>
        </c:ser>
        <c:ser>
          <c:idx val="1"/>
          <c:order val="1"/>
          <c:tx>
            <c:v>計算区間</c:v>
          </c:tx>
          <c:spPr>
            <a:ln w="19050" cap="rnd">
              <a:solidFill>
                <a:schemeClr val="accent2"/>
              </a:solidFill>
              <a:round/>
            </a:ln>
            <a:effectLst/>
          </c:spPr>
          <c:marker>
            <c:symbol val="none"/>
          </c:marker>
          <c:xVal>
            <c:numRef>
              <c:f>D_6!$AU$15:$AU$1015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D_6!$AT$15:$AT$1015</c:f>
              <c:numCache>
                <c:formatCode>General</c:formatCode>
                <c:ptCount val="1001"/>
                <c:pt idx="0">
                  <c:v>-27731.382935248817</c:v>
                </c:pt>
                <c:pt idx="1">
                  <c:v>-27523.469543051473</c:v>
                </c:pt>
                <c:pt idx="2">
                  <c:v>-27349.601574876317</c:v>
                </c:pt>
                <c:pt idx="3">
                  <c:v>-27208.628260531827</c:v>
                </c:pt>
                <c:pt idx="4">
                  <c:v>-27099.360344129644</c:v>
                </c:pt>
                <c:pt idx="5">
                  <c:v>-27020.570084084622</c:v>
                </c:pt>
                <c:pt idx="6">
                  <c:v>-26970.99125311476</c:v>
                </c:pt>
                <c:pt idx="7">
                  <c:v>-26949.319138241233</c:v>
                </c:pt>
                <c:pt idx="8">
                  <c:v>-26954.210540788408</c:v>
                </c:pt>
                <c:pt idx="9">
                  <c:v>-26984.283776383825</c:v>
                </c:pt>
                <c:pt idx="10">
                  <c:v>-27038.118674958183</c:v>
                </c:pt>
                <c:pt idx="11">
                  <c:v>-27114.256580745368</c:v>
                </c:pt>
                <c:pt idx="12">
                  <c:v>-27211.200352282456</c:v>
                </c:pt>
                <c:pt idx="13">
                  <c:v>-27327.414362409669</c:v>
                </c:pt>
                <c:pt idx="14">
                  <c:v>-27461.324498270413</c:v>
                </c:pt>
                <c:pt idx="15">
                  <c:v>-27611.318161311305</c:v>
                </c:pt>
                <c:pt idx="16">
                  <c:v>-27775.744267282083</c:v>
                </c:pt>
                <c:pt idx="17">
                  <c:v>-27952.913246235687</c:v>
                </c:pt>
                <c:pt idx="18">
                  <c:v>-28141.097042528236</c:v>
                </c:pt>
                <c:pt idx="19">
                  <c:v>-28338.52911481903</c:v>
                </c:pt>
                <c:pt idx="20">
                  <c:v>-28543.404436070537</c:v>
                </c:pt>
                <c:pt idx="21">
                  <c:v>-28753.879493548367</c:v>
                </c:pt>
                <c:pt idx="22">
                  <c:v>-28968.072288821371</c:v>
                </c:pt>
                <c:pt idx="23">
                  <c:v>-29184.062337761527</c:v>
                </c:pt>
                <c:pt idx="24">
                  <c:v>-29399.890670544002</c:v>
                </c:pt>
                <c:pt idx="25">
                  <c:v>-29613.559831647151</c:v>
                </c:pt>
                <c:pt idx="26">
                  <c:v>-29823.033879852468</c:v>
                </c:pt>
                <c:pt idx="27">
                  <c:v>-30026.238388244681</c:v>
                </c:pt>
                <c:pt idx="28">
                  <c:v>-30221.060444211638</c:v>
                </c:pt>
                <c:pt idx="29">
                  <c:v>-30405.348649444401</c:v>
                </c:pt>
                <c:pt idx="30">
                  <c:v>-30576.913119937177</c:v>
                </c:pt>
                <c:pt idx="31">
                  <c:v>-30733.525485987375</c:v>
                </c:pt>
                <c:pt idx="32">
                  <c:v>-30872.918892195543</c:v>
                </c:pt>
                <c:pt idx="33">
                  <c:v>-30992.787997465457</c:v>
                </c:pt>
                <c:pt idx="34">
                  <c:v>-31090.788975004056</c:v>
                </c:pt>
                <c:pt idx="35">
                  <c:v>-31164.539512321382</c:v>
                </c:pt>
                <c:pt idx="36">
                  <c:v>-31211.61881123075</c:v>
                </c:pt>
                <c:pt idx="37">
                  <c:v>-31229.567587848614</c:v>
                </c:pt>
                <c:pt idx="38">
                  <c:v>-31215.888072594571</c:v>
                </c:pt>
                <c:pt idx="39">
                  <c:v>-31168.044010191465</c:v>
                </c:pt>
                <c:pt idx="40">
                  <c:v>-31083.460659665237</c:v>
                </c:pt>
                <c:pt idx="41">
                  <c:v>-30959.524794345059</c:v>
                </c:pt>
                <c:pt idx="42">
                  <c:v>-30793.584701863256</c:v>
                </c:pt>
                <c:pt idx="43">
                  <c:v>-30582.950184155336</c:v>
                </c:pt>
                <c:pt idx="44">
                  <c:v>-30324.892557459949</c:v>
                </c:pt>
                <c:pt idx="45">
                  <c:v>-30016.644652319002</c:v>
                </c:pt>
                <c:pt idx="46">
                  <c:v>-29655.400813577486</c:v>
                </c:pt>
                <c:pt idx="47">
                  <c:v>-29238.316900383616</c:v>
                </c:pt>
                <c:pt idx="48">
                  <c:v>-28762.510286188794</c:v>
                </c:pt>
                <c:pt idx="49">
                  <c:v>-28225.059858747562</c:v>
                </c:pt>
                <c:pt idx="50">
                  <c:v>-27623.006020117631</c:v>
                </c:pt>
                <c:pt idx="51">
                  <c:v>-26953.350686659942</c:v>
                </c:pt>
                <c:pt idx="52">
                  <c:v>-26213.057289038574</c:v>
                </c:pt>
                <c:pt idx="53">
                  <c:v>-25399.050772220762</c:v>
                </c:pt>
                <c:pt idx="54">
                  <c:v>-24508.217595477014</c:v>
                </c:pt>
                <c:pt idx="55">
                  <c:v>-23537.405732380845</c:v>
                </c:pt>
                <c:pt idx="56">
                  <c:v>-22483.424670809101</c:v>
                </c:pt>
                <c:pt idx="57">
                  <c:v>-21343.045412941727</c:v>
                </c:pt>
                <c:pt idx="58">
                  <c:v>-20113.000475261819</c:v>
                </c:pt>
                <c:pt idx="59">
                  <c:v>-18789.98388855582</c:v>
                </c:pt>
                <c:pt idx="60">
                  <c:v>-17370.651197913081</c:v>
                </c:pt>
                <c:pt idx="61">
                  <c:v>-15851.619462726296</c:v>
                </c:pt>
                <c:pt idx="62">
                  <c:v>-14229.467256691387</c:v>
                </c:pt>
                <c:pt idx="63">
                  <c:v>-12500.734667807301</c:v>
                </c:pt>
                <c:pt idx="64">
                  <c:v>-10661.923298376198</c:v>
                </c:pt>
                <c:pt idx="65">
                  <c:v>-8709.4962650035086</c:v>
                </c:pt>
                <c:pt idx="66">
                  <c:v>-6639.8781985977766</c:v>
                </c:pt>
                <c:pt idx="67">
                  <c:v>-4449.4552443706561</c:v>
                </c:pt>
                <c:pt idx="68">
                  <c:v>-2134.5750618371167</c:v>
                </c:pt>
                <c:pt idx="69">
                  <c:v>308.45317518484808</c:v>
                </c:pt>
                <c:pt idx="70">
                  <c:v>2883.3587785739292</c:v>
                </c:pt>
                <c:pt idx="71">
                  <c:v>5593.9095459057207</c:v>
                </c:pt>
                <c:pt idx="72">
                  <c:v>8443.9117604526618</c:v>
                </c:pt>
                <c:pt idx="73">
                  <c:v>11437.21019118392</c:v>
                </c:pt>
                <c:pt idx="74">
                  <c:v>14577.688092765595</c:v>
                </c:pt>
                <c:pt idx="75">
                  <c:v>17869.267205560573</c:v>
                </c:pt>
                <c:pt idx="76">
                  <c:v>21315.907755628483</c:v>
                </c:pt>
                <c:pt idx="77">
                  <c:v>24921.608454726047</c:v>
                </c:pt>
                <c:pt idx="78">
                  <c:v>28690.406500306322</c:v>
                </c:pt>
                <c:pt idx="79">
                  <c:v>32626.377575519662</c:v>
                </c:pt>
                <c:pt idx="80">
                  <c:v>36733.635849213046</c:v>
                </c:pt>
                <c:pt idx="81">
                  <c:v>41016.333975930254</c:v>
                </c:pt>
                <c:pt idx="82">
                  <c:v>45478.663095912074</c:v>
                </c:pt>
                <c:pt idx="83">
                  <c:v>50124.852835095771</c:v>
                </c:pt>
                <c:pt idx="84">
                  <c:v>54959.171305115764</c:v>
                </c:pt>
                <c:pt idx="85">
                  <c:v>59985.925103303183</c:v>
                </c:pt>
                <c:pt idx="86">
                  <c:v>65209.45931268602</c:v>
                </c:pt>
                <c:pt idx="87">
                  <c:v>70634.157501988782</c:v>
                </c:pt>
                <c:pt idx="88">
                  <c:v>76264.44172563334</c:v>
                </c:pt>
                <c:pt idx="89">
                  <c:v>82104.772523738153</c:v>
                </c:pt>
                <c:pt idx="90">
                  <c:v>88159.648922118096</c:v>
                </c:pt>
                <c:pt idx="91">
                  <c:v>94433.60843228575</c:v>
                </c:pt>
                <c:pt idx="92">
                  <c:v>100931.22705144953</c:v>
                </c:pt>
                <c:pt idx="93">
                  <c:v>107657.11926251548</c:v>
                </c:pt>
                <c:pt idx="94">
                  <c:v>114615.93803408596</c:v>
                </c:pt>
                <c:pt idx="95">
                  <c:v>121812.37482046039</c:v>
                </c:pt>
                <c:pt idx="96">
                  <c:v>129251.15956163502</c:v>
                </c:pt>
                <c:pt idx="97">
                  <c:v>136937.0606833027</c:v>
                </c:pt>
                <c:pt idx="98">
                  <c:v>144874.88509685354</c:v>
                </c:pt>
                <c:pt idx="99">
                  <c:v>153069.47819937381</c:v>
                </c:pt>
                <c:pt idx="100">
                  <c:v>161525.72387364745</c:v>
                </c:pt>
              </c:numCache>
            </c:numRef>
          </c:yVal>
          <c:smooth val="1"/>
          <c:extLst>
            <c:ext xmlns:c16="http://schemas.microsoft.com/office/drawing/2014/chart" uri="{C3380CC4-5D6E-409C-BE32-E72D297353CC}">
              <c16:uniqueId val="{00000001-1F8D-489F-B60E-656D523A1488}"/>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tx>
            <c:v>計算区間</c:v>
          </c:tx>
          <c:spPr>
            <a:ln w="19050" cap="rnd">
              <a:solidFill>
                <a:schemeClr val="accent2"/>
              </a:solidFill>
              <a:round/>
            </a:ln>
            <a:effectLst/>
          </c:spPr>
          <c:marker>
            <c:symbol val="none"/>
          </c:marker>
          <c:xVal>
            <c:numRef>
              <c:f>D_7!$AU$15:$AU$1015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D_7!$AT$15:$AT$1015</c:f>
              <c:numCache>
                <c:formatCode>General</c:formatCode>
                <c:ptCount val="1001"/>
                <c:pt idx="0">
                  <c:v>-17800.709783381062</c:v>
                </c:pt>
                <c:pt idx="1">
                  <c:v>-17894.97169148556</c:v>
                </c:pt>
                <c:pt idx="2">
                  <c:v>-18017.92693661496</c:v>
                </c:pt>
                <c:pt idx="3">
                  <c:v>-18168.441110980948</c:v>
                </c:pt>
                <c:pt idx="4">
                  <c:v>-18345.341321098396</c:v>
                </c:pt>
                <c:pt idx="5">
                  <c:v>-18547.416187785351</c:v>
                </c:pt>
                <c:pt idx="6">
                  <c:v>-18773.415846163014</c:v>
                </c:pt>
                <c:pt idx="7">
                  <c:v>-19022.051945655789</c:v>
                </c:pt>
                <c:pt idx="8">
                  <c:v>-19291.997649991234</c:v>
                </c:pt>
                <c:pt idx="9">
                  <c:v>-19581.887637200103</c:v>
                </c:pt>
                <c:pt idx="10">
                  <c:v>-19890.31809961631</c:v>
                </c:pt>
                <c:pt idx="11">
                  <c:v>-20215.846743876951</c:v>
                </c:pt>
                <c:pt idx="12">
                  <c:v>-20556.99279092229</c:v>
                </c:pt>
                <c:pt idx="13">
                  <c:v>-20912.236975995791</c:v>
                </c:pt>
                <c:pt idx="14">
                  <c:v>-21280.021548644047</c:v>
                </c:pt>
                <c:pt idx="15">
                  <c:v>-21658.750272716887</c:v>
                </c:pt>
                <c:pt idx="16">
                  <c:v>-22046.788426367253</c:v>
                </c:pt>
                <c:pt idx="17">
                  <c:v>-22442.462802051319</c:v>
                </c:pt>
                <c:pt idx="18">
                  <c:v>-22844.061706528395</c:v>
                </c:pt>
                <c:pt idx="19">
                  <c:v>-23249.834960860964</c:v>
                </c:pt>
                <c:pt idx="20">
                  <c:v>-23657.993900414745</c:v>
                </c:pt>
                <c:pt idx="21">
                  <c:v>-24066.71137485854</c:v>
                </c:pt>
                <c:pt idx="22">
                  <c:v>-24474.121748164413</c:v>
                </c:pt>
                <c:pt idx="23">
                  <c:v>-24878.320898607541</c:v>
                </c:pt>
                <c:pt idx="24">
                  <c:v>-25277.366218766314</c:v>
                </c:pt>
                <c:pt idx="25">
                  <c:v>-25669.276615522271</c:v>
                </c:pt>
                <c:pt idx="26">
                  <c:v>-26052.032510060169</c:v>
                </c:pt>
                <c:pt idx="27">
                  <c:v>-26423.57583786788</c:v>
                </c:pt>
                <c:pt idx="28">
                  <c:v>-26781.810048736494</c:v>
                </c:pt>
                <c:pt idx="29">
                  <c:v>-27124.600106760285</c:v>
                </c:pt>
                <c:pt idx="30">
                  <c:v>-27449.772490336654</c:v>
                </c:pt>
                <c:pt idx="31">
                  <c:v>-27755.115192166217</c:v>
                </c:pt>
                <c:pt idx="32">
                  <c:v>-28038.377719252763</c:v>
                </c:pt>
                <c:pt idx="33">
                  <c:v>-28297.271092903255</c:v>
                </c:pt>
                <c:pt idx="34">
                  <c:v>-28529.467848727814</c:v>
                </c:pt>
                <c:pt idx="35">
                  <c:v>-28732.602036639742</c:v>
                </c:pt>
                <c:pt idx="36">
                  <c:v>-28904.269220855538</c:v>
                </c:pt>
                <c:pt idx="37">
                  <c:v>-29042.026479894848</c:v>
                </c:pt>
                <c:pt idx="38">
                  <c:v>-29143.392406580526</c:v>
                </c:pt>
                <c:pt idx="39">
                  <c:v>-29205.847108038572</c:v>
                </c:pt>
                <c:pt idx="40">
                  <c:v>-29226.832205698156</c:v>
                </c:pt>
                <c:pt idx="41">
                  <c:v>-29203.75083529167</c:v>
                </c:pt>
                <c:pt idx="42">
                  <c:v>-29133.967646854639</c:v>
                </c:pt>
                <c:pt idx="43">
                  <c:v>-29014.80880472577</c:v>
                </c:pt>
                <c:pt idx="44">
                  <c:v>-28843.561987546957</c:v>
                </c:pt>
                <c:pt idx="45">
                  <c:v>-28617.476388263269</c:v>
                </c:pt>
                <c:pt idx="46">
                  <c:v>-28333.762714122924</c:v>
                </c:pt>
                <c:pt idx="47">
                  <c:v>-27989.593186677368</c:v>
                </c:pt>
                <c:pt idx="48">
                  <c:v>-27582.10154178118</c:v>
                </c:pt>
                <c:pt idx="49">
                  <c:v>-27108.383029592129</c:v>
                </c:pt>
                <c:pt idx="50">
                  <c:v>-26565.494414571156</c:v>
                </c:pt>
                <c:pt idx="51">
                  <c:v>-25950.453975482356</c:v>
                </c:pt>
                <c:pt idx="52">
                  <c:v>-25260.241505393053</c:v>
                </c:pt>
                <c:pt idx="53">
                  <c:v>-24491.798311673723</c:v>
                </c:pt>
                <c:pt idx="54">
                  <c:v>-23642.027215997958</c:v>
                </c:pt>
                <c:pt idx="55">
                  <c:v>-22707.792554342661</c:v>
                </c:pt>
                <c:pt idx="56">
                  <c:v>-21685.920176987747</c:v>
                </c:pt>
                <c:pt idx="57">
                  <c:v>-20573.197448516417</c:v>
                </c:pt>
                <c:pt idx="58">
                  <c:v>-19366.373247815041</c:v>
                </c:pt>
                <c:pt idx="59">
                  <c:v>-18062.157968073116</c:v>
                </c:pt>
                <c:pt idx="60">
                  <c:v>-16657.223516783335</c:v>
                </c:pt>
                <c:pt idx="61">
                  <c:v>-15148.203315741608</c:v>
                </c:pt>
                <c:pt idx="62">
                  <c:v>-13531.69230104694</c:v>
                </c:pt>
                <c:pt idx="63">
                  <c:v>-11804.246923101578</c:v>
                </c:pt>
                <c:pt idx="64">
                  <c:v>-9962.3851466108972</c:v>
                </c:pt>
                <c:pt idx="65">
                  <c:v>-8002.5864505835125</c:v>
                </c:pt>
                <c:pt idx="66">
                  <c:v>-5921.291828331181</c:v>
                </c:pt>
                <c:pt idx="67">
                  <c:v>-3714.903787468771</c:v>
                </c:pt>
                <c:pt idx="68">
                  <c:v>-1379.7863499144078</c:v>
                </c:pt>
                <c:pt idx="69">
                  <c:v>1087.7349481105557</c:v>
                </c:pt>
                <c:pt idx="70">
                  <c:v>3691.3730560818003</c:v>
                </c:pt>
                <c:pt idx="71">
                  <c:v>6434.8794091715608</c:v>
                </c:pt>
                <c:pt idx="72">
                  <c:v>9322.0439282491498</c:v>
                </c:pt>
                <c:pt idx="73">
                  <c:v>12356.695019880462</c:v>
                </c:pt>
                <c:pt idx="74">
                  <c:v>15542.699576328458</c:v>
                </c:pt>
                <c:pt idx="75">
                  <c:v>18883.962975552793</c:v>
                </c:pt>
                <c:pt idx="76">
                  <c:v>22384.429081209841</c:v>
                </c:pt>
                <c:pt idx="77">
                  <c:v>26048.080242653079</c:v>
                </c:pt>
                <c:pt idx="78">
                  <c:v>29878.937294932541</c:v>
                </c:pt>
                <c:pt idx="79">
                  <c:v>33881.059558795278</c:v>
                </c:pt>
                <c:pt idx="80">
                  <c:v>38058.54484068491</c:v>
                </c:pt>
                <c:pt idx="81">
                  <c:v>42415.529432742209</c:v>
                </c:pt>
                <c:pt idx="82">
                  <c:v>46956.188112804673</c:v>
                </c:pt>
                <c:pt idx="83">
                  <c:v>51684.734144406371</c:v>
                </c:pt>
                <c:pt idx="84">
                  <c:v>56605.419276778535</c:v>
                </c:pt>
                <c:pt idx="85">
                  <c:v>61722.533744848981</c:v>
                </c:pt>
                <c:pt idx="86">
                  <c:v>67040.40626924258</c:v>
                </c:pt>
                <c:pt idx="87">
                  <c:v>72563.404056280706</c:v>
                </c:pt>
                <c:pt idx="88">
                  <c:v>78295.932797981863</c:v>
                </c:pt>
                <c:pt idx="89">
                  <c:v>84242.436672061362</c:v>
                </c:pt>
                <c:pt idx="90">
                  <c:v>90407.398341930937</c:v>
                </c:pt>
                <c:pt idx="91">
                  <c:v>96795.338956699794</c:v>
                </c:pt>
                <c:pt idx="92">
                  <c:v>103410.81815117336</c:v>
                </c:pt>
                <c:pt idx="93">
                  <c:v>110258.43404585434</c:v>
                </c:pt>
                <c:pt idx="94">
                  <c:v>117342.82324694187</c:v>
                </c:pt>
                <c:pt idx="95">
                  <c:v>124668.66084633218</c:v>
                </c:pt>
                <c:pt idx="96">
                  <c:v>132240.66042161841</c:v>
                </c:pt>
                <c:pt idx="97">
                  <c:v>140063.57403608997</c:v>
                </c:pt>
                <c:pt idx="98">
                  <c:v>148142.19223873396</c:v>
                </c:pt>
                <c:pt idx="99">
                  <c:v>156481.3440642335</c:v>
                </c:pt>
                <c:pt idx="100">
                  <c:v>165085.89703296908</c:v>
                </c:pt>
              </c:numCache>
            </c:numRef>
          </c:yVal>
          <c:smooth val="1"/>
          <c:extLst>
            <c:ext xmlns:c16="http://schemas.microsoft.com/office/drawing/2014/chart" uri="{C3380CC4-5D6E-409C-BE32-E72D297353CC}">
              <c16:uniqueId val="{00000000-DA21-4DBD-8686-7889CEE65CF5}"/>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外挿区間</c:v>
          </c:tx>
          <c:spPr>
            <a:ln w="12700" cap="rnd">
              <a:solidFill>
                <a:schemeClr val="accent1"/>
              </a:solidFill>
              <a:prstDash val="sysDash"/>
              <a:round/>
            </a:ln>
            <a:effectLst/>
          </c:spPr>
          <c:marker>
            <c:symbol val="none"/>
          </c:marker>
          <c:xVal>
            <c:numRef>
              <c:f>D_7!$AR$15:$AR$1015</c:f>
              <c:numCache>
                <c:formatCode>General</c:formatCode>
                <c:ptCount val="1001"/>
                <c:pt idx="0">
                  <c:v>-6</c:v>
                </c:pt>
                <c:pt idx="1">
                  <c:v>-5.52</c:v>
                </c:pt>
                <c:pt idx="2">
                  <c:v>-5.04</c:v>
                </c:pt>
                <c:pt idx="3">
                  <c:v>-4.5600000000000005</c:v>
                </c:pt>
                <c:pt idx="4">
                  <c:v>-4.08</c:v>
                </c:pt>
                <c:pt idx="5">
                  <c:v>-3.5999999999999996</c:v>
                </c:pt>
                <c:pt idx="6">
                  <c:v>-3.120000000000001</c:v>
                </c:pt>
                <c:pt idx="7">
                  <c:v>-2.6400000000000006</c:v>
                </c:pt>
                <c:pt idx="8">
                  <c:v>-2.16</c:v>
                </c:pt>
                <c:pt idx="9">
                  <c:v>-1.6799999999999997</c:v>
                </c:pt>
                <c:pt idx="10">
                  <c:v>-1.1999999999999993</c:v>
                </c:pt>
                <c:pt idx="11">
                  <c:v>-0.72000000000000064</c:v>
                </c:pt>
                <c:pt idx="12">
                  <c:v>-0.24000000000000021</c:v>
                </c:pt>
                <c:pt idx="13">
                  <c:v>0.24000000000000021</c:v>
                </c:pt>
                <c:pt idx="14">
                  <c:v>0.71999999999999886</c:v>
                </c:pt>
                <c:pt idx="15">
                  <c:v>1.1999999999999993</c:v>
                </c:pt>
                <c:pt idx="16">
                  <c:v>1.6799999999999997</c:v>
                </c:pt>
                <c:pt idx="17">
                  <c:v>2.16</c:v>
                </c:pt>
                <c:pt idx="18">
                  <c:v>2.6400000000000006</c:v>
                </c:pt>
                <c:pt idx="19">
                  <c:v>3.1199999999999992</c:v>
                </c:pt>
                <c:pt idx="20">
                  <c:v>3.5999999999999996</c:v>
                </c:pt>
                <c:pt idx="21">
                  <c:v>4.0799999999999983</c:v>
                </c:pt>
                <c:pt idx="22">
                  <c:v>4.5599999999999987</c:v>
                </c:pt>
                <c:pt idx="23">
                  <c:v>5.0399999999999991</c:v>
                </c:pt>
                <c:pt idx="24">
                  <c:v>5.52</c:v>
                </c:pt>
                <c:pt idx="25">
                  <c:v>6</c:v>
                </c:pt>
                <c:pt idx="26">
                  <c:v>6.48</c:v>
                </c:pt>
                <c:pt idx="27">
                  <c:v>6.9600000000000009</c:v>
                </c:pt>
                <c:pt idx="28">
                  <c:v>7.4399999999999977</c:v>
                </c:pt>
                <c:pt idx="29">
                  <c:v>7.9200000000000017</c:v>
                </c:pt>
                <c:pt idx="30">
                  <c:v>8.3999999999999986</c:v>
                </c:pt>
                <c:pt idx="31">
                  <c:v>8.879999999999999</c:v>
                </c:pt>
                <c:pt idx="32">
                  <c:v>9.36</c:v>
                </c:pt>
                <c:pt idx="33">
                  <c:v>9.84</c:v>
                </c:pt>
                <c:pt idx="34">
                  <c:v>10.32</c:v>
                </c:pt>
                <c:pt idx="35">
                  <c:v>10.8</c:v>
                </c:pt>
                <c:pt idx="36">
                  <c:v>11.280000000000001</c:v>
                </c:pt>
                <c:pt idx="37">
                  <c:v>11.759999999999998</c:v>
                </c:pt>
                <c:pt idx="38">
                  <c:v>12.239999999999998</c:v>
                </c:pt>
                <c:pt idx="39">
                  <c:v>12.719999999999999</c:v>
                </c:pt>
                <c:pt idx="40">
                  <c:v>13.2</c:v>
                </c:pt>
                <c:pt idx="41">
                  <c:v>13.68</c:v>
                </c:pt>
                <c:pt idx="42">
                  <c:v>14.16</c:v>
                </c:pt>
                <c:pt idx="43">
                  <c:v>14.64</c:v>
                </c:pt>
                <c:pt idx="44">
                  <c:v>15.119999999999997</c:v>
                </c:pt>
                <c:pt idx="45">
                  <c:v>15.599999999999998</c:v>
                </c:pt>
                <c:pt idx="46">
                  <c:v>16.079999999999998</c:v>
                </c:pt>
                <c:pt idx="47">
                  <c:v>16.559999999999999</c:v>
                </c:pt>
                <c:pt idx="48">
                  <c:v>17.04</c:v>
                </c:pt>
                <c:pt idx="49">
                  <c:v>17.52</c:v>
                </c:pt>
                <c:pt idx="50">
                  <c:v>18</c:v>
                </c:pt>
                <c:pt idx="51">
                  <c:v>18.48</c:v>
                </c:pt>
                <c:pt idx="52">
                  <c:v>18.96</c:v>
                </c:pt>
                <c:pt idx="53">
                  <c:v>19.439999999999998</c:v>
                </c:pt>
                <c:pt idx="54">
                  <c:v>19.919999999999998</c:v>
                </c:pt>
                <c:pt idx="55">
                  <c:v>20.399999999999999</c:v>
                </c:pt>
                <c:pt idx="56">
                  <c:v>20.879999999999995</c:v>
                </c:pt>
                <c:pt idx="57">
                  <c:v>21.36</c:v>
                </c:pt>
                <c:pt idx="58">
                  <c:v>21.840000000000003</c:v>
                </c:pt>
                <c:pt idx="59">
                  <c:v>22.32</c:v>
                </c:pt>
                <c:pt idx="60">
                  <c:v>22.799999999999997</c:v>
                </c:pt>
                <c:pt idx="61">
                  <c:v>23.28</c:v>
                </c:pt>
                <c:pt idx="62">
                  <c:v>23.759999999999998</c:v>
                </c:pt>
                <c:pt idx="63">
                  <c:v>24.239999999999995</c:v>
                </c:pt>
                <c:pt idx="64">
                  <c:v>24.72</c:v>
                </c:pt>
                <c:pt idx="65">
                  <c:v>25.200000000000003</c:v>
                </c:pt>
                <c:pt idx="66">
                  <c:v>25.68</c:v>
                </c:pt>
                <c:pt idx="67">
                  <c:v>26.159999999999997</c:v>
                </c:pt>
                <c:pt idx="68">
                  <c:v>26.64</c:v>
                </c:pt>
                <c:pt idx="69">
                  <c:v>27.119999999999997</c:v>
                </c:pt>
                <c:pt idx="70">
                  <c:v>27.6</c:v>
                </c:pt>
                <c:pt idx="71">
                  <c:v>28.08</c:v>
                </c:pt>
                <c:pt idx="72">
                  <c:v>28.560000000000002</c:v>
                </c:pt>
                <c:pt idx="73">
                  <c:v>29.04</c:v>
                </c:pt>
                <c:pt idx="74">
                  <c:v>29.519999999999996</c:v>
                </c:pt>
                <c:pt idx="75">
                  <c:v>30</c:v>
                </c:pt>
                <c:pt idx="76">
                  <c:v>30.479999999999997</c:v>
                </c:pt>
                <c:pt idx="77">
                  <c:v>30.96</c:v>
                </c:pt>
                <c:pt idx="78">
                  <c:v>31.439999999999998</c:v>
                </c:pt>
                <c:pt idx="79">
                  <c:v>31.92</c:v>
                </c:pt>
                <c:pt idx="80">
                  <c:v>32.4</c:v>
                </c:pt>
                <c:pt idx="81">
                  <c:v>32.879999999999995</c:v>
                </c:pt>
                <c:pt idx="82">
                  <c:v>33.36</c:v>
                </c:pt>
                <c:pt idx="83">
                  <c:v>33.839999999999996</c:v>
                </c:pt>
                <c:pt idx="84">
                  <c:v>34.32</c:v>
                </c:pt>
                <c:pt idx="85">
                  <c:v>34.799999999999997</c:v>
                </c:pt>
                <c:pt idx="86">
                  <c:v>35.28</c:v>
                </c:pt>
                <c:pt idx="87">
                  <c:v>35.76</c:v>
                </c:pt>
                <c:pt idx="88">
                  <c:v>36.239999999999995</c:v>
                </c:pt>
                <c:pt idx="89">
                  <c:v>36.72</c:v>
                </c:pt>
                <c:pt idx="90">
                  <c:v>37.199999999999996</c:v>
                </c:pt>
                <c:pt idx="91">
                  <c:v>37.68</c:v>
                </c:pt>
                <c:pt idx="92">
                  <c:v>38.159999999999997</c:v>
                </c:pt>
                <c:pt idx="93">
                  <c:v>38.64</c:v>
                </c:pt>
                <c:pt idx="94">
                  <c:v>39.119999999999997</c:v>
                </c:pt>
                <c:pt idx="95">
                  <c:v>39.6</c:v>
                </c:pt>
                <c:pt idx="96">
                  <c:v>40.08</c:v>
                </c:pt>
                <c:pt idx="97">
                  <c:v>40.559999999999995</c:v>
                </c:pt>
                <c:pt idx="98">
                  <c:v>41.04</c:v>
                </c:pt>
                <c:pt idx="99">
                  <c:v>41.519999999999996</c:v>
                </c:pt>
                <c:pt idx="100">
                  <c:v>42</c:v>
                </c:pt>
              </c:numCache>
            </c:numRef>
          </c:xVal>
          <c:yVal>
            <c:numRef>
              <c:f>D_7!$AQ$15:$AQ$1015</c:f>
              <c:numCache>
                <c:formatCode>General</c:formatCode>
                <c:ptCount val="1001"/>
                <c:pt idx="0">
                  <c:v>-63472.457033947889</c:v>
                </c:pt>
                <c:pt idx="1">
                  <c:v>-59636.319550104687</c:v>
                </c:pt>
                <c:pt idx="2">
                  <c:v>-55948.680940733379</c:v>
                </c:pt>
                <c:pt idx="3">
                  <c:v>-52415.398393895361</c:v>
                </c:pt>
                <c:pt idx="4">
                  <c:v>-49041.713326502831</c:v>
                </c:pt>
                <c:pt idx="5">
                  <c:v>-45832.251384318806</c:v>
                </c:pt>
                <c:pt idx="6">
                  <c:v>-42791.022441957117</c:v>
                </c:pt>
                <c:pt idx="7">
                  <c:v>-39921.420602882383</c:v>
                </c:pt>
                <c:pt idx="8">
                  <c:v>-37226.22419941004</c:v>
                </c:pt>
                <c:pt idx="9">
                  <c:v>-34707.59579270635</c:v>
                </c:pt>
                <c:pt idx="10">
                  <c:v>-32367.082172788374</c:v>
                </c:pt>
                <c:pt idx="11">
                  <c:v>-30205.614358523984</c:v>
                </c:pt>
                <c:pt idx="12">
                  <c:v>-28223.507597631848</c:v>
                </c:pt>
                <c:pt idx="13">
                  <c:v>-26420.461366681455</c:v>
                </c:pt>
                <c:pt idx="14">
                  <c:v>-24795.55937109311</c:v>
                </c:pt>
                <c:pt idx="15">
                  <c:v>-23347.269545137908</c:v>
                </c:pt>
                <c:pt idx="16">
                  <c:v>-22073.444051937771</c:v>
                </c:pt>
                <c:pt idx="17">
                  <c:v>-20971.319283465422</c:v>
                </c:pt>
                <c:pt idx="18">
                  <c:v>-20037.515860544394</c:v>
                </c:pt>
                <c:pt idx="19">
                  <c:v>-19268.038632849042</c:v>
                </c:pt>
                <c:pt idx="20">
                  <c:v>-18658.276678904498</c:v>
                </c:pt>
                <c:pt idx="21">
                  <c:v>-18203.003306086739</c:v>
                </c:pt>
                <c:pt idx="22">
                  <c:v>-17896.37605062253</c:v>
                </c:pt>
                <c:pt idx="23">
                  <c:v>-17731.936677589452</c:v>
                </c:pt>
                <c:pt idx="24">
                  <c:v>-17702.611180915897</c:v>
                </c:pt>
                <c:pt idx="25">
                  <c:v>-17800.709783381062</c:v>
                </c:pt>
                <c:pt idx="26">
                  <c:v>-18017.92693661496</c:v>
                </c:pt>
                <c:pt idx="27">
                  <c:v>-18345.3413210984</c:v>
                </c:pt>
                <c:pt idx="28">
                  <c:v>-18773.415846163007</c:v>
                </c:pt>
                <c:pt idx="29">
                  <c:v>-19291.997649991234</c:v>
                </c:pt>
                <c:pt idx="30">
                  <c:v>-19890.318099616306</c:v>
                </c:pt>
                <c:pt idx="31">
                  <c:v>-20556.99279092229</c:v>
                </c:pt>
                <c:pt idx="32">
                  <c:v>-21280.021548644047</c:v>
                </c:pt>
                <c:pt idx="33">
                  <c:v>-22046.788426367253</c:v>
                </c:pt>
                <c:pt idx="34">
                  <c:v>-22844.061706528395</c:v>
                </c:pt>
                <c:pt idx="35">
                  <c:v>-23657.993900414745</c:v>
                </c:pt>
                <c:pt idx="36">
                  <c:v>-24474.121748164413</c:v>
                </c:pt>
                <c:pt idx="37">
                  <c:v>-25277.366218766314</c:v>
                </c:pt>
                <c:pt idx="38">
                  <c:v>-26052.032510060169</c:v>
                </c:pt>
                <c:pt idx="39">
                  <c:v>-26781.810048736494</c:v>
                </c:pt>
                <c:pt idx="40">
                  <c:v>-27449.772490336654</c:v>
                </c:pt>
                <c:pt idx="41">
                  <c:v>-28038.377719252763</c:v>
                </c:pt>
                <c:pt idx="42">
                  <c:v>-28529.467848727814</c:v>
                </c:pt>
                <c:pt idx="43">
                  <c:v>-28904.269220855538</c:v>
                </c:pt>
                <c:pt idx="44">
                  <c:v>-29143.392406580533</c:v>
                </c:pt>
                <c:pt idx="45">
                  <c:v>-29226.832205698156</c:v>
                </c:pt>
                <c:pt idx="46">
                  <c:v>-29133.967646854639</c:v>
                </c:pt>
                <c:pt idx="47">
                  <c:v>-28843.561987546957</c:v>
                </c:pt>
                <c:pt idx="48">
                  <c:v>-28333.762714122924</c:v>
                </c:pt>
                <c:pt idx="49">
                  <c:v>-27582.10154178118</c:v>
                </c:pt>
                <c:pt idx="50">
                  <c:v>-26565.494414571156</c:v>
                </c:pt>
                <c:pt idx="51">
                  <c:v>-25260.241505393053</c:v>
                </c:pt>
                <c:pt idx="52">
                  <c:v>-23642.027215997958</c:v>
                </c:pt>
                <c:pt idx="53">
                  <c:v>-21685.920176987747</c:v>
                </c:pt>
                <c:pt idx="54">
                  <c:v>-19366.373247815041</c:v>
                </c:pt>
                <c:pt idx="55">
                  <c:v>-16657.223516783335</c:v>
                </c:pt>
                <c:pt idx="56">
                  <c:v>-13531.692301046955</c:v>
                </c:pt>
                <c:pt idx="57">
                  <c:v>-9962.3851466108972</c:v>
                </c:pt>
                <c:pt idx="58">
                  <c:v>-5921.2918283311228</c:v>
                </c:pt>
                <c:pt idx="59">
                  <c:v>-1379.7863499144078</c:v>
                </c:pt>
                <c:pt idx="60">
                  <c:v>3691.3730560817567</c:v>
                </c:pt>
                <c:pt idx="61">
                  <c:v>9322.0439282491498</c:v>
                </c:pt>
                <c:pt idx="62">
                  <c:v>15542.699576328458</c:v>
                </c:pt>
                <c:pt idx="63">
                  <c:v>22384.429081209797</c:v>
                </c:pt>
                <c:pt idx="64">
                  <c:v>29878.937294932541</c:v>
                </c:pt>
                <c:pt idx="65">
                  <c:v>38058.544840684983</c:v>
                </c:pt>
                <c:pt idx="66">
                  <c:v>46956.188112804673</c:v>
                </c:pt>
                <c:pt idx="67">
                  <c:v>56605.419276778521</c:v>
                </c:pt>
                <c:pt idx="68">
                  <c:v>67040.40626924258</c:v>
                </c:pt>
                <c:pt idx="69">
                  <c:v>78295.932797981863</c:v>
                </c:pt>
                <c:pt idx="70">
                  <c:v>90407.398341931053</c:v>
                </c:pt>
                <c:pt idx="71">
                  <c:v>103410.81815117336</c:v>
                </c:pt>
                <c:pt idx="72">
                  <c:v>117342.82324694193</c:v>
                </c:pt>
                <c:pt idx="73">
                  <c:v>132240.66042161841</c:v>
                </c:pt>
                <c:pt idx="74">
                  <c:v>148142.19223873384</c:v>
                </c:pt>
                <c:pt idx="75">
                  <c:v>165085.89703296908</c:v>
                </c:pt>
                <c:pt idx="76">
                  <c:v>183110.86891015319</c:v>
                </c:pt>
                <c:pt idx="77">
                  <c:v>202256.81774726519</c:v>
                </c:pt>
                <c:pt idx="78">
                  <c:v>222564.06919243265</c:v>
                </c:pt>
                <c:pt idx="79">
                  <c:v>244073.56466493322</c:v>
                </c:pt>
                <c:pt idx="80">
                  <c:v>266826.86135519255</c:v>
                </c:pt>
                <c:pt idx="81">
                  <c:v>290866.1322247861</c:v>
                </c:pt>
                <c:pt idx="82">
                  <c:v>316234.16600643954</c:v>
                </c:pt>
                <c:pt idx="83">
                  <c:v>342974.36720402568</c:v>
                </c:pt>
                <c:pt idx="84">
                  <c:v>371130.7560925681</c:v>
                </c:pt>
                <c:pt idx="85">
                  <c:v>400747.96871823852</c:v>
                </c:pt>
                <c:pt idx="86">
                  <c:v>431871.25689835922</c:v>
                </c:pt>
                <c:pt idx="87">
                  <c:v>464546.48822140007</c:v>
                </c:pt>
                <c:pt idx="88">
                  <c:v>498820.14604698104</c:v>
                </c:pt>
                <c:pt idx="89">
                  <c:v>534739.32950587163</c:v>
                </c:pt>
                <c:pt idx="90">
                  <c:v>572351.7534999894</c:v>
                </c:pt>
                <c:pt idx="91">
                  <c:v>611705.74870240246</c:v>
                </c:pt>
                <c:pt idx="92">
                  <c:v>652850.26155732619</c:v>
                </c:pt>
                <c:pt idx="93">
                  <c:v>695834.85428012768</c:v>
                </c:pt>
                <c:pt idx="94">
                  <c:v>740709.70485732087</c:v>
                </c:pt>
                <c:pt idx="95">
                  <c:v>787525.60704657086</c:v>
                </c:pt>
                <c:pt idx="96">
                  <c:v>836333.97037668992</c:v>
                </c:pt>
                <c:pt idx="97">
                  <c:v>887186.82014764147</c:v>
                </c:pt>
                <c:pt idx="98">
                  <c:v>940136.79743053718</c:v>
                </c:pt>
                <c:pt idx="99">
                  <c:v>995237.15906763729</c:v>
                </c:pt>
                <c:pt idx="100">
                  <c:v>1052541.777672353</c:v>
                </c:pt>
              </c:numCache>
            </c:numRef>
          </c:yVal>
          <c:smooth val="1"/>
          <c:extLst>
            <c:ext xmlns:c16="http://schemas.microsoft.com/office/drawing/2014/chart" uri="{C3380CC4-5D6E-409C-BE32-E72D297353CC}">
              <c16:uniqueId val="{00000000-146D-479B-95EF-0C209596A1C4}"/>
            </c:ext>
          </c:extLst>
        </c:ser>
        <c:ser>
          <c:idx val="1"/>
          <c:order val="1"/>
          <c:tx>
            <c:v>計算区間</c:v>
          </c:tx>
          <c:spPr>
            <a:ln w="19050" cap="rnd">
              <a:solidFill>
                <a:schemeClr val="accent2"/>
              </a:solidFill>
              <a:round/>
            </a:ln>
            <a:effectLst/>
          </c:spPr>
          <c:marker>
            <c:symbol val="none"/>
          </c:marker>
          <c:xVal>
            <c:numRef>
              <c:f>D_7!$AU$15:$AU$1015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D_7!$AT$15:$AT$1015</c:f>
              <c:numCache>
                <c:formatCode>General</c:formatCode>
                <c:ptCount val="1001"/>
                <c:pt idx="0">
                  <c:v>-17800.709783381062</c:v>
                </c:pt>
                <c:pt idx="1">
                  <c:v>-17894.97169148556</c:v>
                </c:pt>
                <c:pt idx="2">
                  <c:v>-18017.92693661496</c:v>
                </c:pt>
                <c:pt idx="3">
                  <c:v>-18168.441110980948</c:v>
                </c:pt>
                <c:pt idx="4">
                  <c:v>-18345.341321098396</c:v>
                </c:pt>
                <c:pt idx="5">
                  <c:v>-18547.416187785351</c:v>
                </c:pt>
                <c:pt idx="6">
                  <c:v>-18773.415846163014</c:v>
                </c:pt>
                <c:pt idx="7">
                  <c:v>-19022.051945655789</c:v>
                </c:pt>
                <c:pt idx="8">
                  <c:v>-19291.997649991234</c:v>
                </c:pt>
                <c:pt idx="9">
                  <c:v>-19581.887637200103</c:v>
                </c:pt>
                <c:pt idx="10">
                  <c:v>-19890.31809961631</c:v>
                </c:pt>
                <c:pt idx="11">
                  <c:v>-20215.846743876951</c:v>
                </c:pt>
                <c:pt idx="12">
                  <c:v>-20556.99279092229</c:v>
                </c:pt>
                <c:pt idx="13">
                  <c:v>-20912.236975995791</c:v>
                </c:pt>
                <c:pt idx="14">
                  <c:v>-21280.021548644047</c:v>
                </c:pt>
                <c:pt idx="15">
                  <c:v>-21658.750272716887</c:v>
                </c:pt>
                <c:pt idx="16">
                  <c:v>-22046.788426367253</c:v>
                </c:pt>
                <c:pt idx="17">
                  <c:v>-22442.462802051319</c:v>
                </c:pt>
                <c:pt idx="18">
                  <c:v>-22844.061706528395</c:v>
                </c:pt>
                <c:pt idx="19">
                  <c:v>-23249.834960860964</c:v>
                </c:pt>
                <c:pt idx="20">
                  <c:v>-23657.993900414745</c:v>
                </c:pt>
                <c:pt idx="21">
                  <c:v>-24066.71137485854</c:v>
                </c:pt>
                <c:pt idx="22">
                  <c:v>-24474.121748164413</c:v>
                </c:pt>
                <c:pt idx="23">
                  <c:v>-24878.320898607541</c:v>
                </c:pt>
                <c:pt idx="24">
                  <c:v>-25277.366218766314</c:v>
                </c:pt>
                <c:pt idx="25">
                  <c:v>-25669.276615522271</c:v>
                </c:pt>
                <c:pt idx="26">
                  <c:v>-26052.032510060169</c:v>
                </c:pt>
                <c:pt idx="27">
                  <c:v>-26423.57583786788</c:v>
                </c:pt>
                <c:pt idx="28">
                  <c:v>-26781.810048736494</c:v>
                </c:pt>
                <c:pt idx="29">
                  <c:v>-27124.600106760285</c:v>
                </c:pt>
                <c:pt idx="30">
                  <c:v>-27449.772490336654</c:v>
                </c:pt>
                <c:pt idx="31">
                  <c:v>-27755.115192166217</c:v>
                </c:pt>
                <c:pt idx="32">
                  <c:v>-28038.377719252763</c:v>
                </c:pt>
                <c:pt idx="33">
                  <c:v>-28297.271092903255</c:v>
                </c:pt>
                <c:pt idx="34">
                  <c:v>-28529.467848727814</c:v>
                </c:pt>
                <c:pt idx="35">
                  <c:v>-28732.602036639742</c:v>
                </c:pt>
                <c:pt idx="36">
                  <c:v>-28904.269220855538</c:v>
                </c:pt>
                <c:pt idx="37">
                  <c:v>-29042.026479894848</c:v>
                </c:pt>
                <c:pt idx="38">
                  <c:v>-29143.392406580526</c:v>
                </c:pt>
                <c:pt idx="39">
                  <c:v>-29205.847108038572</c:v>
                </c:pt>
                <c:pt idx="40">
                  <c:v>-29226.832205698156</c:v>
                </c:pt>
                <c:pt idx="41">
                  <c:v>-29203.75083529167</c:v>
                </c:pt>
                <c:pt idx="42">
                  <c:v>-29133.967646854639</c:v>
                </c:pt>
                <c:pt idx="43">
                  <c:v>-29014.80880472577</c:v>
                </c:pt>
                <c:pt idx="44">
                  <c:v>-28843.561987546957</c:v>
                </c:pt>
                <c:pt idx="45">
                  <c:v>-28617.476388263269</c:v>
                </c:pt>
                <c:pt idx="46">
                  <c:v>-28333.762714122924</c:v>
                </c:pt>
                <c:pt idx="47">
                  <c:v>-27989.593186677368</c:v>
                </c:pt>
                <c:pt idx="48">
                  <c:v>-27582.10154178118</c:v>
                </c:pt>
                <c:pt idx="49">
                  <c:v>-27108.383029592129</c:v>
                </c:pt>
                <c:pt idx="50">
                  <c:v>-26565.494414571156</c:v>
                </c:pt>
                <c:pt idx="51">
                  <c:v>-25950.453975482356</c:v>
                </c:pt>
                <c:pt idx="52">
                  <c:v>-25260.241505393053</c:v>
                </c:pt>
                <c:pt idx="53">
                  <c:v>-24491.798311673723</c:v>
                </c:pt>
                <c:pt idx="54">
                  <c:v>-23642.027215997958</c:v>
                </c:pt>
                <c:pt idx="55">
                  <c:v>-22707.792554342661</c:v>
                </c:pt>
                <c:pt idx="56">
                  <c:v>-21685.920176987747</c:v>
                </c:pt>
                <c:pt idx="57">
                  <c:v>-20573.197448516417</c:v>
                </c:pt>
                <c:pt idx="58">
                  <c:v>-19366.373247815041</c:v>
                </c:pt>
                <c:pt idx="59">
                  <c:v>-18062.157968073116</c:v>
                </c:pt>
                <c:pt idx="60">
                  <c:v>-16657.223516783335</c:v>
                </c:pt>
                <c:pt idx="61">
                  <c:v>-15148.203315741608</c:v>
                </c:pt>
                <c:pt idx="62">
                  <c:v>-13531.69230104694</c:v>
                </c:pt>
                <c:pt idx="63">
                  <c:v>-11804.246923101578</c:v>
                </c:pt>
                <c:pt idx="64">
                  <c:v>-9962.3851466108972</c:v>
                </c:pt>
                <c:pt idx="65">
                  <c:v>-8002.5864505835125</c:v>
                </c:pt>
                <c:pt idx="66">
                  <c:v>-5921.291828331181</c:v>
                </c:pt>
                <c:pt idx="67">
                  <c:v>-3714.903787468771</c:v>
                </c:pt>
                <c:pt idx="68">
                  <c:v>-1379.7863499144078</c:v>
                </c:pt>
                <c:pt idx="69">
                  <c:v>1087.7349481105557</c:v>
                </c:pt>
                <c:pt idx="70">
                  <c:v>3691.3730560818003</c:v>
                </c:pt>
                <c:pt idx="71">
                  <c:v>6434.8794091715608</c:v>
                </c:pt>
                <c:pt idx="72">
                  <c:v>9322.0439282491498</c:v>
                </c:pt>
                <c:pt idx="73">
                  <c:v>12356.695019880462</c:v>
                </c:pt>
                <c:pt idx="74">
                  <c:v>15542.699576328458</c:v>
                </c:pt>
                <c:pt idx="75">
                  <c:v>18883.962975552793</c:v>
                </c:pt>
                <c:pt idx="76">
                  <c:v>22384.429081209841</c:v>
                </c:pt>
                <c:pt idx="77">
                  <c:v>26048.080242653079</c:v>
                </c:pt>
                <c:pt idx="78">
                  <c:v>29878.937294932541</c:v>
                </c:pt>
                <c:pt idx="79">
                  <c:v>33881.059558795278</c:v>
                </c:pt>
                <c:pt idx="80">
                  <c:v>38058.54484068491</c:v>
                </c:pt>
                <c:pt idx="81">
                  <c:v>42415.529432742209</c:v>
                </c:pt>
                <c:pt idx="82">
                  <c:v>46956.188112804673</c:v>
                </c:pt>
                <c:pt idx="83">
                  <c:v>51684.734144406371</c:v>
                </c:pt>
                <c:pt idx="84">
                  <c:v>56605.419276778535</c:v>
                </c:pt>
                <c:pt idx="85">
                  <c:v>61722.533744848981</c:v>
                </c:pt>
                <c:pt idx="86">
                  <c:v>67040.40626924258</c:v>
                </c:pt>
                <c:pt idx="87">
                  <c:v>72563.404056280706</c:v>
                </c:pt>
                <c:pt idx="88">
                  <c:v>78295.932797981863</c:v>
                </c:pt>
                <c:pt idx="89">
                  <c:v>84242.436672061362</c:v>
                </c:pt>
                <c:pt idx="90">
                  <c:v>90407.398341930937</c:v>
                </c:pt>
                <c:pt idx="91">
                  <c:v>96795.338956699794</c:v>
                </c:pt>
                <c:pt idx="92">
                  <c:v>103410.81815117336</c:v>
                </c:pt>
                <c:pt idx="93">
                  <c:v>110258.43404585434</c:v>
                </c:pt>
                <c:pt idx="94">
                  <c:v>117342.82324694187</c:v>
                </c:pt>
                <c:pt idx="95">
                  <c:v>124668.66084633218</c:v>
                </c:pt>
                <c:pt idx="96">
                  <c:v>132240.66042161841</c:v>
                </c:pt>
                <c:pt idx="97">
                  <c:v>140063.57403608997</c:v>
                </c:pt>
                <c:pt idx="98">
                  <c:v>148142.19223873396</c:v>
                </c:pt>
                <c:pt idx="99">
                  <c:v>156481.3440642335</c:v>
                </c:pt>
                <c:pt idx="100">
                  <c:v>165085.89703296908</c:v>
                </c:pt>
              </c:numCache>
            </c:numRef>
          </c:yVal>
          <c:smooth val="1"/>
          <c:extLst>
            <c:ext xmlns:c16="http://schemas.microsoft.com/office/drawing/2014/chart" uri="{C3380CC4-5D6E-409C-BE32-E72D297353CC}">
              <c16:uniqueId val="{00000001-146D-479B-95EF-0C209596A1C4}"/>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tx>
            <c:v>計算区間</c:v>
          </c:tx>
          <c:spPr>
            <a:ln w="19050" cap="rnd">
              <a:solidFill>
                <a:schemeClr val="accent2"/>
              </a:solidFill>
              <a:round/>
            </a:ln>
            <a:effectLst/>
          </c:spPr>
          <c:marker>
            <c:symbol val="none"/>
          </c:marker>
          <c:xVal>
            <c:numRef>
              <c:f>D_8!$AU$15:$AU$1015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D_8!$AT$15:$AT$1015</c:f>
              <c:numCache>
                <c:formatCode>General</c:formatCode>
                <c:ptCount val="1001"/>
                <c:pt idx="0">
                  <c:v>-28951.926935248819</c:v>
                </c:pt>
                <c:pt idx="1">
                  <c:v>-28843.609933451473</c:v>
                </c:pt>
                <c:pt idx="2">
                  <c:v>-28773.244096476315</c:v>
                </c:pt>
                <c:pt idx="3">
                  <c:v>-28739.678654131825</c:v>
                </c:pt>
                <c:pt idx="4">
                  <c:v>-28741.724350529643</c:v>
                </c:pt>
                <c:pt idx="5">
                  <c:v>-28778.153444084619</c:v>
                </c:pt>
                <c:pt idx="6">
                  <c:v>-28847.699707514759</c:v>
                </c:pt>
                <c:pt idx="7">
                  <c:v>-28949.058427841232</c:v>
                </c:pt>
                <c:pt idx="8">
                  <c:v>-29080.886406388407</c:v>
                </c:pt>
                <c:pt idx="9">
                  <c:v>-29241.801958783824</c:v>
                </c:pt>
                <c:pt idx="10">
                  <c:v>-29430.384914958184</c:v>
                </c:pt>
                <c:pt idx="11">
                  <c:v>-29645.176619145368</c:v>
                </c:pt>
                <c:pt idx="12">
                  <c:v>-29884.679929882455</c:v>
                </c:pt>
                <c:pt idx="13">
                  <c:v>-30147.359220009668</c:v>
                </c:pt>
                <c:pt idx="14">
                  <c:v>-30431.640376670417</c:v>
                </c:pt>
                <c:pt idx="15">
                  <c:v>-30735.910801311307</c:v>
                </c:pt>
                <c:pt idx="16">
                  <c:v>-31058.519409682078</c:v>
                </c:pt>
                <c:pt idx="17">
                  <c:v>-31397.776631835681</c:v>
                </c:pt>
                <c:pt idx="18">
                  <c:v>-31751.954412128245</c:v>
                </c:pt>
                <c:pt idx="19">
                  <c:v>-32119.286209219026</c:v>
                </c:pt>
                <c:pt idx="20">
                  <c:v>-32497.966996070536</c:v>
                </c:pt>
                <c:pt idx="21">
                  <c:v>-32886.153259948369</c:v>
                </c:pt>
                <c:pt idx="22">
                  <c:v>-33281.963002421377</c:v>
                </c:pt>
                <c:pt idx="23">
                  <c:v>-33683.475739361529</c:v>
                </c:pt>
                <c:pt idx="24">
                  <c:v>-34088.732500943996</c:v>
                </c:pt>
                <c:pt idx="25">
                  <c:v>-34495.735831647158</c:v>
                </c:pt>
                <c:pt idx="26">
                  <c:v>-34902.449790252467</c:v>
                </c:pt>
                <c:pt idx="27">
                  <c:v>-35306.799949844681</c:v>
                </c:pt>
                <c:pt idx="28">
                  <c:v>-35706.673397811632</c:v>
                </c:pt>
                <c:pt idx="29">
                  <c:v>-36099.918735844396</c:v>
                </c:pt>
                <c:pt idx="30">
                  <c:v>-36484.346079937168</c:v>
                </c:pt>
                <c:pt idx="31">
                  <c:v>-36857.727060387369</c:v>
                </c:pt>
                <c:pt idx="32">
                  <c:v>-37217.794821795535</c:v>
                </c:pt>
                <c:pt idx="33">
                  <c:v>-37562.244023065454</c:v>
                </c:pt>
                <c:pt idx="34">
                  <c:v>-37888.730837404051</c:v>
                </c:pt>
                <c:pt idx="35">
                  <c:v>-38194.872952321377</c:v>
                </c:pt>
                <c:pt idx="36">
                  <c:v>-38478.249569630752</c:v>
                </c:pt>
                <c:pt idx="37">
                  <c:v>-38736.401405448611</c:v>
                </c:pt>
                <c:pt idx="38">
                  <c:v>-38966.830690194583</c:v>
                </c:pt>
                <c:pt idx="39">
                  <c:v>-39167.001168591458</c:v>
                </c:pt>
                <c:pt idx="40">
                  <c:v>-39334.338099665234</c:v>
                </c:pt>
                <c:pt idx="41">
                  <c:v>-39466.228256745053</c:v>
                </c:pt>
                <c:pt idx="42">
                  <c:v>-39560.019927463254</c:v>
                </c:pt>
                <c:pt idx="43">
                  <c:v>-39613.022913755332</c:v>
                </c:pt>
                <c:pt idx="44">
                  <c:v>-39622.508531859967</c:v>
                </c:pt>
                <c:pt idx="45">
                  <c:v>-39585.709612318991</c:v>
                </c:pt>
                <c:pt idx="46">
                  <c:v>-39499.820499977468</c:v>
                </c:pt>
                <c:pt idx="47">
                  <c:v>-39361.997053983614</c:v>
                </c:pt>
                <c:pt idx="48">
                  <c:v>-39169.356647788773</c:v>
                </c:pt>
                <c:pt idx="49">
                  <c:v>-38918.978169147573</c:v>
                </c:pt>
                <c:pt idx="50">
                  <c:v>-38607.902020117639</c:v>
                </c:pt>
                <c:pt idx="51">
                  <c:v>-38233.13011705994</c:v>
                </c:pt>
                <c:pt idx="52">
                  <c:v>-37791.625890638585</c:v>
                </c:pt>
                <c:pt idx="53">
                  <c:v>-37280.314285820779</c:v>
                </c:pt>
                <c:pt idx="54">
                  <c:v>-36696.081761877002</c:v>
                </c:pt>
                <c:pt idx="55">
                  <c:v>-36035.776292380855</c:v>
                </c:pt>
                <c:pt idx="56">
                  <c:v>-35296.207365209098</c:v>
                </c:pt>
                <c:pt idx="57">
                  <c:v>-34474.145982541704</c:v>
                </c:pt>
                <c:pt idx="58">
                  <c:v>-33566.324660861828</c:v>
                </c:pt>
                <c:pt idx="59">
                  <c:v>-32569.437430955797</c:v>
                </c:pt>
                <c:pt idx="60">
                  <c:v>-31480.139837913077</c:v>
                </c:pt>
                <c:pt idx="61">
                  <c:v>-30295.048941126304</c:v>
                </c:pt>
                <c:pt idx="62">
                  <c:v>-29010.743314291401</c:v>
                </c:pt>
                <c:pt idx="63">
                  <c:v>-27623.763045407286</c:v>
                </c:pt>
                <c:pt idx="64">
                  <c:v>-26130.609736776176</c:v>
                </c:pt>
                <c:pt idx="65">
                  <c:v>-24527.746505003503</c:v>
                </c:pt>
                <c:pt idx="66">
                  <c:v>-22811.59798099778</c:v>
                </c:pt>
                <c:pt idx="67">
                  <c:v>-20978.550309970662</c:v>
                </c:pt>
                <c:pt idx="68">
                  <c:v>-19024.951151437119</c:v>
                </c:pt>
                <c:pt idx="69">
                  <c:v>-16947.109679215173</c:v>
                </c:pt>
                <c:pt idx="70">
                  <c:v>-14741.296581426075</c:v>
                </c:pt>
                <c:pt idx="71">
                  <c:v>-12403.744060494289</c:v>
                </c:pt>
                <c:pt idx="72">
                  <c:v>-9930.6458331473477</c:v>
                </c:pt>
                <c:pt idx="73">
                  <c:v>-7318.1571304160534</c:v>
                </c:pt>
                <c:pt idx="74">
                  <c:v>-4562.3946976344232</c:v>
                </c:pt>
                <c:pt idx="75">
                  <c:v>-1659.4367944394544</c:v>
                </c:pt>
                <c:pt idx="76">
                  <c:v>1394.6768052284824</c:v>
                </c:pt>
                <c:pt idx="77">
                  <c:v>4603.9448131260506</c:v>
                </c:pt>
                <c:pt idx="78">
                  <c:v>7972.4044267063073</c:v>
                </c:pt>
                <c:pt idx="79">
                  <c:v>11504.131329119664</c:v>
                </c:pt>
                <c:pt idx="80">
                  <c:v>15203.239689213042</c:v>
                </c:pt>
                <c:pt idx="81">
                  <c:v>19073.88216153028</c:v>
                </c:pt>
                <c:pt idx="82">
                  <c:v>23120.249886312049</c:v>
                </c:pt>
                <c:pt idx="83">
                  <c:v>27346.572489495789</c:v>
                </c:pt>
                <c:pt idx="84">
                  <c:v>31757.118082715802</c:v>
                </c:pt>
                <c:pt idx="85">
                  <c:v>36356.193263303219</c:v>
                </c:pt>
                <c:pt idx="86">
                  <c:v>41148.143114286031</c:v>
                </c:pt>
                <c:pt idx="87">
                  <c:v>46137.351204388797</c:v>
                </c:pt>
                <c:pt idx="88">
                  <c:v>51328.239588033342</c:v>
                </c:pt>
                <c:pt idx="89">
                  <c:v>56725.268805338179</c:v>
                </c:pt>
                <c:pt idx="90">
                  <c:v>62332.937882118124</c:v>
                </c:pt>
                <c:pt idx="91">
                  <c:v>68155.784329885762</c:v>
                </c:pt>
                <c:pt idx="92">
                  <c:v>74198.384145849559</c:v>
                </c:pt>
                <c:pt idx="93">
                  <c:v>80465.351812915498</c:v>
                </c:pt>
                <c:pt idx="94">
                  <c:v>86961.340299685951</c:v>
                </c:pt>
                <c:pt idx="95">
                  <c:v>93691.04106046044</c:v>
                </c:pt>
                <c:pt idx="96">
                  <c:v>100659.18403523506</c:v>
                </c:pt>
                <c:pt idx="97">
                  <c:v>107870.53764970269</c:v>
                </c:pt>
                <c:pt idx="98">
                  <c:v>115329.90881525353</c:v>
                </c:pt>
                <c:pt idx="99">
                  <c:v>123042.14292897383</c:v>
                </c:pt>
                <c:pt idx="100">
                  <c:v>131012.12387364742</c:v>
                </c:pt>
              </c:numCache>
            </c:numRef>
          </c:yVal>
          <c:smooth val="1"/>
          <c:extLst>
            <c:ext xmlns:c16="http://schemas.microsoft.com/office/drawing/2014/chart" uri="{C3380CC4-5D6E-409C-BE32-E72D297353CC}">
              <c16:uniqueId val="{00000000-2EA5-49C0-8A4C-8E57283AEBF8}"/>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69350808273147E-2"/>
          <c:y val="0.11131608548931383"/>
          <c:w val="0.88274326820258575"/>
          <c:h val="0.6623009266698805"/>
        </c:manualLayout>
      </c:layout>
      <c:scatterChart>
        <c:scatterStyle val="lineMarker"/>
        <c:varyColors val="0"/>
        <c:ser>
          <c:idx val="2"/>
          <c:order val="0"/>
          <c:tx>
            <c:v>回帰曲線（サンプル範囲）</c:v>
          </c:tx>
          <c:spPr>
            <a:ln w="25400" cap="rnd">
              <a:solidFill>
                <a:schemeClr val="accent1"/>
              </a:solidFill>
              <a:round/>
            </a:ln>
            <a:effectLst/>
          </c:spPr>
          <c:marker>
            <c:symbol val="none"/>
          </c:marker>
          <c:xVal>
            <c:numRef>
              <c:f>'C3'!$BA$14:$BA$1014</c:f>
              <c:numCache>
                <c:formatCode>General</c:formatCode>
                <c:ptCount val="1001"/>
                <c:pt idx="0">
                  <c:v>1.832382785185185E-2</c:v>
                </c:pt>
                <c:pt idx="1">
                  <c:v>7.5127694178271601E-2</c:v>
                </c:pt>
                <c:pt idx="2">
                  <c:v>0.13193156050469135</c:v>
                </c:pt>
                <c:pt idx="3">
                  <c:v>0.18873542683111111</c:v>
                </c:pt>
                <c:pt idx="4">
                  <c:v>0.24553929315753087</c:v>
                </c:pt>
                <c:pt idx="5">
                  <c:v>0.30234315948395057</c:v>
                </c:pt>
                <c:pt idx="6">
                  <c:v>0.35914702581037034</c:v>
                </c:pt>
                <c:pt idx="7">
                  <c:v>0.4159508921367901</c:v>
                </c:pt>
                <c:pt idx="8">
                  <c:v>0.47275475846320986</c:v>
                </c:pt>
                <c:pt idx="9">
                  <c:v>0.52955862478962956</c:v>
                </c:pt>
                <c:pt idx="10">
                  <c:v>0.58636249111604932</c:v>
                </c:pt>
                <c:pt idx="11">
                  <c:v>0.64316635744246908</c:v>
                </c:pt>
                <c:pt idx="12">
                  <c:v>0.69997022376888884</c:v>
                </c:pt>
                <c:pt idx="13">
                  <c:v>0.7567740900953086</c:v>
                </c:pt>
                <c:pt idx="14">
                  <c:v>0.81357795642172837</c:v>
                </c:pt>
                <c:pt idx="15">
                  <c:v>0.87038182274814813</c:v>
                </c:pt>
                <c:pt idx="16">
                  <c:v>0.92718568907456789</c:v>
                </c:pt>
                <c:pt idx="17">
                  <c:v>0.98398955540098765</c:v>
                </c:pt>
                <c:pt idx="18">
                  <c:v>1.0407934217274073</c:v>
                </c:pt>
                <c:pt idx="19">
                  <c:v>1.0975972880538272</c:v>
                </c:pt>
                <c:pt idx="20">
                  <c:v>1.1544011543802468</c:v>
                </c:pt>
                <c:pt idx="21">
                  <c:v>1.2112050207066667</c:v>
                </c:pt>
                <c:pt idx="22">
                  <c:v>1.2680088870330863</c:v>
                </c:pt>
                <c:pt idx="23">
                  <c:v>1.3248127533595062</c:v>
                </c:pt>
                <c:pt idx="24">
                  <c:v>1.3816166196859259</c:v>
                </c:pt>
                <c:pt idx="25">
                  <c:v>1.4384204860123457</c:v>
                </c:pt>
                <c:pt idx="26">
                  <c:v>1.4952243523387654</c:v>
                </c:pt>
                <c:pt idx="27">
                  <c:v>1.5520282186651853</c:v>
                </c:pt>
                <c:pt idx="28">
                  <c:v>1.6088320849916049</c:v>
                </c:pt>
                <c:pt idx="29">
                  <c:v>1.6656359513180248</c:v>
                </c:pt>
                <c:pt idx="30">
                  <c:v>1.7224398176444444</c:v>
                </c:pt>
                <c:pt idx="31">
                  <c:v>1.7792436839708643</c:v>
                </c:pt>
                <c:pt idx="32">
                  <c:v>1.8360475502972839</c:v>
                </c:pt>
                <c:pt idx="33">
                  <c:v>1.8928514166237036</c:v>
                </c:pt>
                <c:pt idx="34">
                  <c:v>1.9496552829501235</c:v>
                </c:pt>
                <c:pt idx="35">
                  <c:v>2.0064591492765431</c:v>
                </c:pt>
                <c:pt idx="36">
                  <c:v>2.063263015602963</c:v>
                </c:pt>
                <c:pt idx="37">
                  <c:v>2.1200668819293829</c:v>
                </c:pt>
                <c:pt idx="38">
                  <c:v>2.1768707482558027</c:v>
                </c:pt>
                <c:pt idx="39">
                  <c:v>2.2336746145822226</c:v>
                </c:pt>
                <c:pt idx="40">
                  <c:v>2.290478480908642</c:v>
                </c:pt>
                <c:pt idx="41">
                  <c:v>2.3472823472350619</c:v>
                </c:pt>
                <c:pt idx="42">
                  <c:v>2.4040862135614818</c:v>
                </c:pt>
                <c:pt idx="43">
                  <c:v>2.4608900798879016</c:v>
                </c:pt>
                <c:pt idx="44">
                  <c:v>2.5176939462143211</c:v>
                </c:pt>
                <c:pt idx="45">
                  <c:v>2.5744978125407409</c:v>
                </c:pt>
                <c:pt idx="46">
                  <c:v>2.6313016788671608</c:v>
                </c:pt>
                <c:pt idx="47">
                  <c:v>2.6881055451935807</c:v>
                </c:pt>
                <c:pt idx="48">
                  <c:v>2.7449094115200001</c:v>
                </c:pt>
                <c:pt idx="49">
                  <c:v>2.80171327784642</c:v>
                </c:pt>
                <c:pt idx="50">
                  <c:v>2.8585171441728399</c:v>
                </c:pt>
                <c:pt idx="51">
                  <c:v>2.9153210104992593</c:v>
                </c:pt>
                <c:pt idx="52">
                  <c:v>2.9721248768256792</c:v>
                </c:pt>
                <c:pt idx="53">
                  <c:v>3.028928743152099</c:v>
                </c:pt>
                <c:pt idx="54">
                  <c:v>3.0857326094785189</c:v>
                </c:pt>
                <c:pt idx="55">
                  <c:v>3.1425364758049383</c:v>
                </c:pt>
                <c:pt idx="56">
                  <c:v>3.1993403421313582</c:v>
                </c:pt>
                <c:pt idx="57">
                  <c:v>3.2561442084577781</c:v>
                </c:pt>
                <c:pt idx="58">
                  <c:v>3.3129480747841979</c:v>
                </c:pt>
                <c:pt idx="59">
                  <c:v>3.3697519411106174</c:v>
                </c:pt>
                <c:pt idx="60">
                  <c:v>3.4265558074370372</c:v>
                </c:pt>
                <c:pt idx="61">
                  <c:v>3.4833596737634571</c:v>
                </c:pt>
                <c:pt idx="62">
                  <c:v>3.540163540089877</c:v>
                </c:pt>
                <c:pt idx="63">
                  <c:v>3.5969674064162964</c:v>
                </c:pt>
                <c:pt idx="64">
                  <c:v>3.6537712727427163</c:v>
                </c:pt>
                <c:pt idx="65">
                  <c:v>3.7105751390691362</c:v>
                </c:pt>
                <c:pt idx="66">
                  <c:v>3.7673790053955556</c:v>
                </c:pt>
                <c:pt idx="67">
                  <c:v>3.8241828717219755</c:v>
                </c:pt>
                <c:pt idx="68">
                  <c:v>3.8809867380483953</c:v>
                </c:pt>
                <c:pt idx="69">
                  <c:v>3.9377906043748152</c:v>
                </c:pt>
                <c:pt idx="70">
                  <c:v>3.9945944707012346</c:v>
                </c:pt>
                <c:pt idx="71">
                  <c:v>4.0513983370276545</c:v>
                </c:pt>
                <c:pt idx="72">
                  <c:v>4.1082022033540735</c:v>
                </c:pt>
                <c:pt idx="73">
                  <c:v>4.1650060696804934</c:v>
                </c:pt>
                <c:pt idx="74">
                  <c:v>4.2218099360069132</c:v>
                </c:pt>
                <c:pt idx="75">
                  <c:v>4.2786138023333331</c:v>
                </c:pt>
                <c:pt idx="76">
                  <c:v>4.335417668659753</c:v>
                </c:pt>
                <c:pt idx="77">
                  <c:v>4.3922215349861728</c:v>
                </c:pt>
                <c:pt idx="78">
                  <c:v>4.4490254013125927</c:v>
                </c:pt>
                <c:pt idx="79">
                  <c:v>4.5058292676390126</c:v>
                </c:pt>
                <c:pt idx="80">
                  <c:v>4.5626331339654316</c:v>
                </c:pt>
                <c:pt idx="81">
                  <c:v>4.6194370002918514</c:v>
                </c:pt>
                <c:pt idx="82">
                  <c:v>4.6762408666182713</c:v>
                </c:pt>
                <c:pt idx="83">
                  <c:v>4.7330447329446912</c:v>
                </c:pt>
                <c:pt idx="84">
                  <c:v>4.7898485992711111</c:v>
                </c:pt>
                <c:pt idx="85">
                  <c:v>4.8466524655975309</c:v>
                </c:pt>
                <c:pt idx="86">
                  <c:v>4.9034563319239508</c:v>
                </c:pt>
                <c:pt idx="87">
                  <c:v>4.9602601982503698</c:v>
                </c:pt>
                <c:pt idx="88">
                  <c:v>5.0170640645767897</c:v>
                </c:pt>
                <c:pt idx="89">
                  <c:v>5.0738679309032095</c:v>
                </c:pt>
                <c:pt idx="90">
                  <c:v>5.1306717972296294</c:v>
                </c:pt>
                <c:pt idx="91">
                  <c:v>5.1874756635560493</c:v>
                </c:pt>
                <c:pt idx="92">
                  <c:v>5.2442795298824691</c:v>
                </c:pt>
                <c:pt idx="93">
                  <c:v>5.301083396208889</c:v>
                </c:pt>
                <c:pt idx="94">
                  <c:v>5.3578872625353089</c:v>
                </c:pt>
                <c:pt idx="95">
                  <c:v>5.4146911288617279</c:v>
                </c:pt>
                <c:pt idx="96">
                  <c:v>5.4714949951881477</c:v>
                </c:pt>
                <c:pt idx="97">
                  <c:v>5.5282988615145676</c:v>
                </c:pt>
                <c:pt idx="98">
                  <c:v>5.5851027278409875</c:v>
                </c:pt>
                <c:pt idx="99">
                  <c:v>5.6419065941674074</c:v>
                </c:pt>
                <c:pt idx="100">
                  <c:v>5.6987104604938272</c:v>
                </c:pt>
              </c:numCache>
            </c:numRef>
          </c:xVal>
          <c:yVal>
            <c:numRef>
              <c:f>'C3'!$AZ$14:$AZ$1014</c:f>
              <c:numCache>
                <c:formatCode>General</c:formatCode>
                <c:ptCount val="1001"/>
                <c:pt idx="0">
                  <c:v>8.5016863732530608E-5</c:v>
                </c:pt>
                <c:pt idx="1">
                  <c:v>8.9126028842150212E-5</c:v>
                </c:pt>
                <c:pt idx="2">
                  <c:v>9.3305230049766334E-5</c:v>
                </c:pt>
                <c:pt idx="3">
                  <c:v>9.7548420437893276E-5</c:v>
                </c:pt>
                <c:pt idx="4">
                  <c:v>1.0184967599524651E-4</c:v>
                </c:pt>
                <c:pt idx="5">
                  <c:v>1.0620319561674261E-4</c:v>
                </c:pt>
                <c:pt idx="6">
                  <c:v>1.1060330110349931E-4</c:v>
                </c:pt>
                <c:pt idx="7">
                  <c:v>1.1504443716283541E-4</c:v>
                </c:pt>
                <c:pt idx="8">
                  <c:v>1.1952117140827089E-4</c:v>
                </c:pt>
                <c:pt idx="9">
                  <c:v>1.2402819435952686E-4</c:v>
                </c:pt>
                <c:pt idx="10">
                  <c:v>1.2856031944252549E-4</c:v>
                </c:pt>
                <c:pt idx="11">
                  <c:v>1.3311248298939019E-4</c:v>
                </c:pt>
                <c:pt idx="12">
                  <c:v>1.3767974423844543E-4</c:v>
                </c:pt>
                <c:pt idx="13">
                  <c:v>1.4225728533421675E-4</c:v>
                </c:pt>
                <c:pt idx="14">
                  <c:v>1.4684041132743091E-4</c:v>
                </c:pt>
                <c:pt idx="15">
                  <c:v>1.5142455017501578E-4</c:v>
                </c:pt>
                <c:pt idx="16">
                  <c:v>1.5600525274010035E-4</c:v>
                </c:pt>
                <c:pt idx="17">
                  <c:v>1.605781927920147E-4</c:v>
                </c:pt>
                <c:pt idx="18">
                  <c:v>1.6513916700629011E-4</c:v>
                </c:pt>
                <c:pt idx="19">
                  <c:v>1.6968409496465891E-4</c:v>
                </c:pt>
                <c:pt idx="20">
                  <c:v>1.7420901915505459E-4</c:v>
                </c:pt>
                <c:pt idx="21">
                  <c:v>1.7871010497161181E-4</c:v>
                </c:pt>
                <c:pt idx="22">
                  <c:v>1.8318364071466626E-4</c:v>
                </c:pt>
                <c:pt idx="23">
                  <c:v>1.8762603759075487E-4</c:v>
                </c:pt>
                <c:pt idx="24">
                  <c:v>1.920338297126156E-4</c:v>
                </c:pt>
                <c:pt idx="25">
                  <c:v>1.9640367409918765E-4</c:v>
                </c:pt>
                <c:pt idx="26">
                  <c:v>2.0073235067561118E-4</c:v>
                </c:pt>
                <c:pt idx="27">
                  <c:v>2.0501676227322764E-4</c:v>
                </c:pt>
                <c:pt idx="28">
                  <c:v>2.092539346295795E-4</c:v>
                </c:pt>
                <c:pt idx="29">
                  <c:v>2.1344101638841044E-4</c:v>
                </c:pt>
                <c:pt idx="30">
                  <c:v>2.1757527909966522E-4</c:v>
                </c:pt>
                <c:pt idx="31">
                  <c:v>2.2165411721948973E-4</c:v>
                </c:pt>
                <c:pt idx="32">
                  <c:v>2.2567504811023097E-4</c:v>
                </c:pt>
                <c:pt idx="33">
                  <c:v>2.2963571204043709E-4</c:v>
                </c:pt>
                <c:pt idx="34">
                  <c:v>2.3353387218485742E-4</c:v>
                </c:pt>
                <c:pt idx="35">
                  <c:v>2.3736741462444228E-4</c:v>
                </c:pt>
                <c:pt idx="36">
                  <c:v>2.4113434834634328E-4</c:v>
                </c:pt>
                <c:pt idx="37">
                  <c:v>2.4483280524391306E-4</c:v>
                </c:pt>
                <c:pt idx="38">
                  <c:v>2.4846104011670537E-4</c:v>
                </c:pt>
                <c:pt idx="39">
                  <c:v>2.5201743067047514E-4</c:v>
                </c:pt>
                <c:pt idx="40">
                  <c:v>2.5550047751717834E-4</c:v>
                </c:pt>
                <c:pt idx="41">
                  <c:v>2.5890880417497235E-4</c:v>
                </c:pt>
                <c:pt idx="42">
                  <c:v>2.6224115706821523E-4</c:v>
                </c:pt>
                <c:pt idx="43">
                  <c:v>2.6549640552746658E-4</c:v>
                </c:pt>
                <c:pt idx="44">
                  <c:v>2.6867354178948674E-4</c:v>
                </c:pt>
                <c:pt idx="45">
                  <c:v>2.7177168099723763E-4</c:v>
                </c:pt>
                <c:pt idx="46">
                  <c:v>2.7479006119988188E-4</c:v>
                </c:pt>
                <c:pt idx="47">
                  <c:v>2.7772804335278348E-4</c:v>
                </c:pt>
                <c:pt idx="48">
                  <c:v>2.8058511131750748E-4</c:v>
                </c:pt>
                <c:pt idx="49">
                  <c:v>2.8336087186182012E-4</c:v>
                </c:pt>
                <c:pt idx="50">
                  <c:v>2.8605505465968868E-4</c:v>
                </c:pt>
                <c:pt idx="51">
                  <c:v>2.886675122912816E-4</c:v>
                </c:pt>
                <c:pt idx="52">
                  <c:v>2.9119822024296839E-4</c:v>
                </c:pt>
                <c:pt idx="53">
                  <c:v>2.9364727690731984E-4</c:v>
                </c:pt>
                <c:pt idx="54">
                  <c:v>2.9601490358310768E-4</c:v>
                </c:pt>
                <c:pt idx="55">
                  <c:v>2.9830144447530493E-4</c:v>
                </c:pt>
                <c:pt idx="56">
                  <c:v>3.0050736669508569E-4</c:v>
                </c:pt>
                <c:pt idx="57">
                  <c:v>3.0263326025982515E-4</c:v>
                </c:pt>
                <c:pt idx="58">
                  <c:v>3.0467983809309956E-4</c:v>
                </c:pt>
                <c:pt idx="59">
                  <c:v>3.0664793602468642E-4</c:v>
                </c:pt>
                <c:pt idx="60">
                  <c:v>3.0853851279056437E-4</c:v>
                </c:pt>
                <c:pt idx="61">
                  <c:v>3.1035265003291309E-4</c:v>
                </c:pt>
                <c:pt idx="62">
                  <c:v>3.1209155230011343E-4</c:v>
                </c:pt>
                <c:pt idx="63">
                  <c:v>3.1375654704674731E-4</c:v>
                </c:pt>
                <c:pt idx="64">
                  <c:v>3.1534908463359791E-4</c:v>
                </c:pt>
                <c:pt idx="65">
                  <c:v>3.1687073832764942E-4</c:v>
                </c:pt>
                <c:pt idx="66">
                  <c:v>3.183232043020871E-4</c:v>
                </c:pt>
                <c:pt idx="67">
                  <c:v>3.1970830163629768E-4</c:v>
                </c:pt>
                <c:pt idx="68">
                  <c:v>3.2102797231586849E-4</c:v>
                </c:pt>
                <c:pt idx="69">
                  <c:v>3.2228428123258837E-4</c:v>
                </c:pt>
                <c:pt idx="70">
                  <c:v>3.2347941618444736E-4</c:v>
                </c:pt>
                <c:pt idx="71">
                  <c:v>3.24615687875636E-4</c:v>
                </c:pt>
                <c:pt idx="72">
                  <c:v>3.2569552991654693E-4</c:v>
                </c:pt>
                <c:pt idx="73">
                  <c:v>3.2672149882377285E-4</c:v>
                </c:pt>
                <c:pt idx="74">
                  <c:v>3.2769627402010873E-4</c:v>
                </c:pt>
                <c:pt idx="75">
                  <c:v>3.2862265783454962E-4</c:v>
                </c:pt>
                <c:pt idx="76">
                  <c:v>3.2950357550229239E-4</c:v>
                </c:pt>
                <c:pt idx="77">
                  <c:v>3.3034207516473464E-4</c:v>
                </c:pt>
                <c:pt idx="78">
                  <c:v>3.3114132786947524E-4</c:v>
                </c:pt>
                <c:pt idx="79">
                  <c:v>3.3190462757031435E-4</c:v>
                </c:pt>
                <c:pt idx="80">
                  <c:v>3.3263539112725283E-4</c:v>
                </c:pt>
                <c:pt idx="81">
                  <c:v>3.3333715830649341E-4</c:v>
                </c:pt>
                <c:pt idx="82">
                  <c:v>3.3401359178043908E-4</c:v>
                </c:pt>
                <c:pt idx="83">
                  <c:v>3.3466847712769433E-4</c:v>
                </c:pt>
                <c:pt idx="84">
                  <c:v>3.3530572283306515E-4</c:v>
                </c:pt>
                <c:pt idx="85">
                  <c:v>3.3592936028755804E-4</c:v>
                </c:pt>
                <c:pt idx="86">
                  <c:v>3.3654354378838099E-4</c:v>
                </c:pt>
                <c:pt idx="87">
                  <c:v>3.3715255053894295E-4</c:v>
                </c:pt>
                <c:pt idx="88">
                  <c:v>3.3776078064885414E-4</c:v>
                </c:pt>
                <c:pt idx="89">
                  <c:v>3.3837275713392595E-4</c:v>
                </c:pt>
                <c:pt idx="90">
                  <c:v>3.3899312591617039E-4</c:v>
                </c:pt>
                <c:pt idx="91">
                  <c:v>3.3962665582380151E-4</c:v>
                </c:pt>
                <c:pt idx="92">
                  <c:v>3.4027823859123364E-4</c:v>
                </c:pt>
                <c:pt idx="93">
                  <c:v>3.4095288885908274E-4</c:v>
                </c:pt>
                <c:pt idx="94">
                  <c:v>3.4165574417416571E-4</c:v>
                </c:pt>
                <c:pt idx="95">
                  <c:v>3.4239206498950028E-4</c:v>
                </c:pt>
                <c:pt idx="96">
                  <c:v>3.4316723466430612E-4</c:v>
                </c:pt>
                <c:pt idx="97">
                  <c:v>3.4398675946400341E-4</c:v>
                </c:pt>
                <c:pt idx="98">
                  <c:v>3.4485626856021318E-4</c:v>
                </c:pt>
                <c:pt idx="99">
                  <c:v>3.4578151403075836E-4</c:v>
                </c:pt>
                <c:pt idx="100">
                  <c:v>3.4676837085966233E-4</c:v>
                </c:pt>
              </c:numCache>
            </c:numRef>
          </c:yVal>
          <c:smooth val="0"/>
          <c:extLst>
            <c:ext xmlns:c16="http://schemas.microsoft.com/office/drawing/2014/chart" uri="{C3380CC4-5D6E-409C-BE32-E72D297353CC}">
              <c16:uniqueId val="{00000001-4126-412D-8FD7-16B500321D8B}"/>
            </c:ext>
          </c:extLst>
        </c:ser>
        <c:ser>
          <c:idx val="1"/>
          <c:order val="1"/>
          <c:tx>
            <c:v>要求条件での計算結果</c:v>
          </c:tx>
          <c:spPr>
            <a:ln w="19050" cap="rnd">
              <a:noFill/>
              <a:round/>
            </a:ln>
            <a:effectLst/>
          </c:spPr>
          <c:marker>
            <c:symbol val="x"/>
            <c:size val="8"/>
            <c:spPr>
              <a:noFill/>
              <a:ln w="9525">
                <a:solidFill>
                  <a:srgbClr val="FF0000"/>
                </a:solidFill>
              </a:ln>
              <a:effectLst/>
            </c:spPr>
          </c:marker>
          <c:xVal>
            <c:numRef>
              <c:f>E!$Z$16:$Z$25</c:f>
              <c:numCache>
                <c:formatCode>General</c:formatCode>
                <c:ptCount val="10"/>
                <c:pt idx="0">
                  <c:v>3.4201174766310598</c:v>
                </c:pt>
                <c:pt idx="1">
                  <c:v>4.9758672524677054</c:v>
                </c:pt>
                <c:pt idx="2">
                  <c:v>3.961307076098775</c:v>
                </c:pt>
                <c:pt idx="3">
                  <c:v>4.5375953822736079</c:v>
                </c:pt>
                <c:pt idx="4">
                  <c:v>3.8526788236873526</c:v>
                </c:pt>
                <c:pt idx="5">
                  <c:v>4.1918688533811812</c:v>
                </c:pt>
                <c:pt idx="6">
                  <c:v>3.6800674982426855</c:v>
                </c:pt>
                <c:pt idx="7">
                  <c:v>3.9136774113022961</c:v>
                </c:pt>
                <c:pt idx="8">
                  <c:v>3.5103050308955517</c:v>
                </c:pt>
                <c:pt idx="9">
                  <c:v>3.6848346742713982</c:v>
                </c:pt>
              </c:numCache>
            </c:numRef>
          </c:xVal>
          <c:yVal>
            <c:numRef>
              <c:f>E!$X$16:$X$25</c:f>
              <c:numCache>
                <c:formatCode>General</c:formatCode>
                <c:ptCount val="10"/>
                <c:pt idx="0">
                  <c:v>3.0832809101293652E-4</c:v>
                </c:pt>
                <c:pt idx="1">
                  <c:v>3.3731955195568655E-4</c:v>
                </c:pt>
                <c:pt idx="2">
                  <c:v>3.2278635135161142E-4</c:v>
                </c:pt>
                <c:pt idx="3">
                  <c:v>3.3231707451540345E-4</c:v>
                </c:pt>
                <c:pt idx="4">
                  <c:v>3.203783731523511E-4</c:v>
                </c:pt>
                <c:pt idx="5">
                  <c:v>3.2718868586776602E-4</c:v>
                </c:pt>
                <c:pt idx="6">
                  <c:v>3.160622159143027E-4</c:v>
                </c:pt>
                <c:pt idx="7">
                  <c:v>3.217585812530921E-4</c:v>
                </c:pt>
                <c:pt idx="8">
                  <c:v>3.1118681306554455E-4</c:v>
                </c:pt>
                <c:pt idx="9">
                  <c:v>3.1618988367988841E-4</c:v>
                </c:pt>
              </c:numCache>
            </c:numRef>
          </c:yVal>
          <c:smooth val="0"/>
          <c:extLst>
            <c:ext xmlns:c16="http://schemas.microsoft.com/office/drawing/2014/chart" uri="{C3380CC4-5D6E-409C-BE32-E72D297353CC}">
              <c16:uniqueId val="{00000002-4126-412D-8FD7-16B500321D8B}"/>
            </c:ext>
          </c:extLst>
        </c:ser>
        <c:dLbls>
          <c:showLegendKey val="0"/>
          <c:showVal val="0"/>
          <c:showCatName val="0"/>
          <c:showSerName val="0"/>
          <c:showPercent val="0"/>
          <c:showBubbleSize val="0"/>
        </c:dLbls>
        <c:axId val="1866239839"/>
        <c:axId val="170578446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無次元流量</a:t>
                </a:r>
                <a:r>
                  <a:rPr lang="en-US" altLang="ja-JP"/>
                  <a:t>[-]</a:t>
                </a:r>
                <a:endParaRPr lang="ja-JP" altLang="en-US"/>
              </a:p>
            </c:rich>
          </c:tx>
          <c:layout>
            <c:manualLayout>
              <c:xMode val="edge"/>
              <c:yMode val="edge"/>
              <c:x val="0.44781294495050872"/>
              <c:y val="0.89262585034013608"/>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無次元軸動力</a:t>
                </a:r>
                <a:r>
                  <a:rPr lang="en-US" altLang="ja-JP"/>
                  <a:t>[-]</a:t>
                </a:r>
                <a:endParaRPr lang="ja-JP" altLang="en-US"/>
              </a:p>
            </c:rich>
          </c:tx>
          <c:layout>
            <c:manualLayout>
              <c:xMode val="edge"/>
              <c:yMode val="edge"/>
              <c:x val="1.041520136780288E-3"/>
              <c:y val="0.17353045155069902"/>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spPr>
        <a:noFill/>
        <a:ln>
          <a:noFill/>
        </a:ln>
        <a:effectLst/>
      </c:spPr>
    </c:plotArea>
    <c:legend>
      <c:legendPos val="t"/>
      <c:layout>
        <c:manualLayout>
          <c:xMode val="edge"/>
          <c:yMode val="edge"/>
          <c:x val="0"/>
          <c:y val="8.23045267489712E-3"/>
          <c:w val="0.99917695473251034"/>
          <c:h val="0.102519899298301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外挿区間</c:v>
          </c:tx>
          <c:spPr>
            <a:ln w="12700" cap="rnd">
              <a:solidFill>
                <a:schemeClr val="accent1"/>
              </a:solidFill>
              <a:prstDash val="sysDash"/>
              <a:round/>
            </a:ln>
            <a:effectLst/>
          </c:spPr>
          <c:marker>
            <c:symbol val="none"/>
          </c:marker>
          <c:xVal>
            <c:numRef>
              <c:f>D_8!$AR$15:$AR$1015</c:f>
              <c:numCache>
                <c:formatCode>General</c:formatCode>
                <c:ptCount val="1001"/>
                <c:pt idx="0">
                  <c:v>-6</c:v>
                </c:pt>
                <c:pt idx="1">
                  <c:v>-5.52</c:v>
                </c:pt>
                <c:pt idx="2">
                  <c:v>-5.04</c:v>
                </c:pt>
                <c:pt idx="3">
                  <c:v>-4.5600000000000005</c:v>
                </c:pt>
                <c:pt idx="4">
                  <c:v>-4.08</c:v>
                </c:pt>
                <c:pt idx="5">
                  <c:v>-3.5999999999999996</c:v>
                </c:pt>
                <c:pt idx="6">
                  <c:v>-3.120000000000001</c:v>
                </c:pt>
                <c:pt idx="7">
                  <c:v>-2.6400000000000006</c:v>
                </c:pt>
                <c:pt idx="8">
                  <c:v>-2.16</c:v>
                </c:pt>
                <c:pt idx="9">
                  <c:v>-1.6799999999999997</c:v>
                </c:pt>
                <c:pt idx="10">
                  <c:v>-1.1999999999999993</c:v>
                </c:pt>
                <c:pt idx="11">
                  <c:v>-0.72000000000000064</c:v>
                </c:pt>
                <c:pt idx="12">
                  <c:v>-0.24000000000000021</c:v>
                </c:pt>
                <c:pt idx="13">
                  <c:v>0.24000000000000021</c:v>
                </c:pt>
                <c:pt idx="14">
                  <c:v>0.71999999999999886</c:v>
                </c:pt>
                <c:pt idx="15">
                  <c:v>1.1999999999999993</c:v>
                </c:pt>
                <c:pt idx="16">
                  <c:v>1.6799999999999997</c:v>
                </c:pt>
                <c:pt idx="17">
                  <c:v>2.16</c:v>
                </c:pt>
                <c:pt idx="18">
                  <c:v>2.6400000000000006</c:v>
                </c:pt>
                <c:pt idx="19">
                  <c:v>3.1199999999999992</c:v>
                </c:pt>
                <c:pt idx="20">
                  <c:v>3.5999999999999996</c:v>
                </c:pt>
                <c:pt idx="21">
                  <c:v>4.0799999999999983</c:v>
                </c:pt>
                <c:pt idx="22">
                  <c:v>4.5599999999999987</c:v>
                </c:pt>
                <c:pt idx="23">
                  <c:v>5.0399999999999991</c:v>
                </c:pt>
                <c:pt idx="24">
                  <c:v>5.52</c:v>
                </c:pt>
                <c:pt idx="25">
                  <c:v>6</c:v>
                </c:pt>
                <c:pt idx="26">
                  <c:v>6.48</c:v>
                </c:pt>
                <c:pt idx="27">
                  <c:v>6.9600000000000009</c:v>
                </c:pt>
                <c:pt idx="28">
                  <c:v>7.4399999999999977</c:v>
                </c:pt>
                <c:pt idx="29">
                  <c:v>7.9200000000000017</c:v>
                </c:pt>
                <c:pt idx="30">
                  <c:v>8.3999999999999986</c:v>
                </c:pt>
                <c:pt idx="31">
                  <c:v>8.879999999999999</c:v>
                </c:pt>
                <c:pt idx="32">
                  <c:v>9.36</c:v>
                </c:pt>
                <c:pt idx="33">
                  <c:v>9.84</c:v>
                </c:pt>
                <c:pt idx="34">
                  <c:v>10.32</c:v>
                </c:pt>
                <c:pt idx="35">
                  <c:v>10.8</c:v>
                </c:pt>
                <c:pt idx="36">
                  <c:v>11.280000000000001</c:v>
                </c:pt>
                <c:pt idx="37">
                  <c:v>11.759999999999998</c:v>
                </c:pt>
                <c:pt idx="38">
                  <c:v>12.239999999999998</c:v>
                </c:pt>
                <c:pt idx="39">
                  <c:v>12.719999999999999</c:v>
                </c:pt>
                <c:pt idx="40">
                  <c:v>13.2</c:v>
                </c:pt>
                <c:pt idx="41">
                  <c:v>13.68</c:v>
                </c:pt>
                <c:pt idx="42">
                  <c:v>14.16</c:v>
                </c:pt>
                <c:pt idx="43">
                  <c:v>14.64</c:v>
                </c:pt>
                <c:pt idx="44">
                  <c:v>15.119999999999997</c:v>
                </c:pt>
                <c:pt idx="45">
                  <c:v>15.599999999999998</c:v>
                </c:pt>
                <c:pt idx="46">
                  <c:v>16.079999999999998</c:v>
                </c:pt>
                <c:pt idx="47">
                  <c:v>16.559999999999999</c:v>
                </c:pt>
                <c:pt idx="48">
                  <c:v>17.04</c:v>
                </c:pt>
                <c:pt idx="49">
                  <c:v>17.52</c:v>
                </c:pt>
                <c:pt idx="50">
                  <c:v>18</c:v>
                </c:pt>
                <c:pt idx="51">
                  <c:v>18.48</c:v>
                </c:pt>
                <c:pt idx="52">
                  <c:v>18.96</c:v>
                </c:pt>
                <c:pt idx="53">
                  <c:v>19.439999999999998</c:v>
                </c:pt>
                <c:pt idx="54">
                  <c:v>19.919999999999998</c:v>
                </c:pt>
                <c:pt idx="55">
                  <c:v>20.399999999999999</c:v>
                </c:pt>
                <c:pt idx="56">
                  <c:v>20.879999999999995</c:v>
                </c:pt>
                <c:pt idx="57">
                  <c:v>21.36</c:v>
                </c:pt>
                <c:pt idx="58">
                  <c:v>21.840000000000003</c:v>
                </c:pt>
                <c:pt idx="59">
                  <c:v>22.32</c:v>
                </c:pt>
                <c:pt idx="60">
                  <c:v>22.799999999999997</c:v>
                </c:pt>
                <c:pt idx="61">
                  <c:v>23.28</c:v>
                </c:pt>
                <c:pt idx="62">
                  <c:v>23.759999999999998</c:v>
                </c:pt>
                <c:pt idx="63">
                  <c:v>24.239999999999995</c:v>
                </c:pt>
                <c:pt idx="64">
                  <c:v>24.72</c:v>
                </c:pt>
                <c:pt idx="65">
                  <c:v>25.200000000000003</c:v>
                </c:pt>
                <c:pt idx="66">
                  <c:v>25.68</c:v>
                </c:pt>
                <c:pt idx="67">
                  <c:v>26.159999999999997</c:v>
                </c:pt>
                <c:pt idx="68">
                  <c:v>26.64</c:v>
                </c:pt>
                <c:pt idx="69">
                  <c:v>27.119999999999997</c:v>
                </c:pt>
                <c:pt idx="70">
                  <c:v>27.6</c:v>
                </c:pt>
                <c:pt idx="71">
                  <c:v>28.08</c:v>
                </c:pt>
                <c:pt idx="72">
                  <c:v>28.560000000000002</c:v>
                </c:pt>
                <c:pt idx="73">
                  <c:v>29.04</c:v>
                </c:pt>
                <c:pt idx="74">
                  <c:v>29.519999999999996</c:v>
                </c:pt>
                <c:pt idx="75">
                  <c:v>30</c:v>
                </c:pt>
                <c:pt idx="76">
                  <c:v>30.479999999999997</c:v>
                </c:pt>
                <c:pt idx="77">
                  <c:v>30.96</c:v>
                </c:pt>
                <c:pt idx="78">
                  <c:v>31.439999999999998</c:v>
                </c:pt>
                <c:pt idx="79">
                  <c:v>31.92</c:v>
                </c:pt>
                <c:pt idx="80">
                  <c:v>32.4</c:v>
                </c:pt>
                <c:pt idx="81">
                  <c:v>32.879999999999995</c:v>
                </c:pt>
                <c:pt idx="82">
                  <c:v>33.36</c:v>
                </c:pt>
                <c:pt idx="83">
                  <c:v>33.839999999999996</c:v>
                </c:pt>
                <c:pt idx="84">
                  <c:v>34.32</c:v>
                </c:pt>
                <c:pt idx="85">
                  <c:v>34.799999999999997</c:v>
                </c:pt>
                <c:pt idx="86">
                  <c:v>35.28</c:v>
                </c:pt>
                <c:pt idx="87">
                  <c:v>35.76</c:v>
                </c:pt>
                <c:pt idx="88">
                  <c:v>36.239999999999995</c:v>
                </c:pt>
                <c:pt idx="89">
                  <c:v>36.72</c:v>
                </c:pt>
                <c:pt idx="90">
                  <c:v>37.199999999999996</c:v>
                </c:pt>
                <c:pt idx="91">
                  <c:v>37.68</c:v>
                </c:pt>
                <c:pt idx="92">
                  <c:v>38.159999999999997</c:v>
                </c:pt>
                <c:pt idx="93">
                  <c:v>38.64</c:v>
                </c:pt>
                <c:pt idx="94">
                  <c:v>39.119999999999997</c:v>
                </c:pt>
                <c:pt idx="95">
                  <c:v>39.6</c:v>
                </c:pt>
                <c:pt idx="96">
                  <c:v>40.08</c:v>
                </c:pt>
                <c:pt idx="97">
                  <c:v>40.559999999999995</c:v>
                </c:pt>
                <c:pt idx="98">
                  <c:v>41.04</c:v>
                </c:pt>
                <c:pt idx="99">
                  <c:v>41.519999999999996</c:v>
                </c:pt>
                <c:pt idx="100">
                  <c:v>42</c:v>
                </c:pt>
              </c:numCache>
            </c:numRef>
          </c:xVal>
          <c:yVal>
            <c:numRef>
              <c:f>D_8!$AQ$15:$AQ$1015</c:f>
              <c:numCache>
                <c:formatCode>General</c:formatCode>
                <c:ptCount val="1001"/>
                <c:pt idx="0">
                  <c:v>-96917.959233356407</c:v>
                </c:pt>
                <c:pt idx="1">
                  <c:v>-91719.232969756471</c:v>
                </c:pt>
                <c:pt idx="2">
                  <c:v>-86709.243922846508</c:v>
                </c:pt>
                <c:pt idx="3">
                  <c:v>-81893.71838146224</c:v>
                </c:pt>
                <c:pt idx="4">
                  <c:v>-77277.766863290191</c:v>
                </c:pt>
                <c:pt idx="5">
                  <c:v>-72865.884114867702</c:v>
                </c:pt>
                <c:pt idx="6">
                  <c:v>-68661.949111582944</c:v>
                </c:pt>
                <c:pt idx="7">
                  <c:v>-64669.225057674848</c:v>
                </c:pt>
                <c:pt idx="8">
                  <c:v>-60890.359386233205</c:v>
                </c:pt>
                <c:pt idx="9">
                  <c:v>-57327.383759198579</c:v>
                </c:pt>
                <c:pt idx="10">
                  <c:v>-53981.714067362365</c:v>
                </c:pt>
                <c:pt idx="11">
                  <c:v>-50854.150430366775</c:v>
                </c:pt>
                <c:pt idx="12">
                  <c:v>-47944.877196704787</c:v>
                </c:pt>
                <c:pt idx="13">
                  <c:v>-45253.462943720231</c:v>
                </c:pt>
                <c:pt idx="14">
                  <c:v>-42778.860477607741</c:v>
                </c:pt>
                <c:pt idx="15">
                  <c:v>-40519.406833412737</c:v>
                </c:pt>
                <c:pt idx="16">
                  <c:v>-38472.823275031456</c:v>
                </c:pt>
                <c:pt idx="17">
                  <c:v>-36636.215295210968</c:v>
                </c:pt>
                <c:pt idx="18">
                  <c:v>-35006.072615549136</c:v>
                </c:pt>
                <c:pt idx="19">
                  <c:v>-33578.269186494625</c:v>
                </c:pt>
                <c:pt idx="20">
                  <c:v>-32348.063187346903</c:v>
                </c:pt>
                <c:pt idx="21">
                  <c:v>-31310.097026256284</c:v>
                </c:pt>
                <c:pt idx="22">
                  <c:v>-30458.397340223848</c:v>
                </c:pt>
                <c:pt idx="23">
                  <c:v>-29786.374995101512</c:v>
                </c:pt>
                <c:pt idx="24">
                  <c:v>-29286.825085591991</c:v>
                </c:pt>
                <c:pt idx="25">
                  <c:v>-28951.926935248819</c:v>
                </c:pt>
                <c:pt idx="26">
                  <c:v>-28773.244096476315</c:v>
                </c:pt>
                <c:pt idx="27">
                  <c:v>-28741.72435052965</c:v>
                </c:pt>
                <c:pt idx="28">
                  <c:v>-28847.699707514756</c:v>
                </c:pt>
                <c:pt idx="29">
                  <c:v>-29080.88640638841</c:v>
                </c:pt>
                <c:pt idx="30">
                  <c:v>-29430.38491495818</c:v>
                </c:pt>
                <c:pt idx="31">
                  <c:v>-29884.679929882455</c:v>
                </c:pt>
                <c:pt idx="32">
                  <c:v>-30431.640376670417</c:v>
                </c:pt>
                <c:pt idx="33">
                  <c:v>-31058.519409682078</c:v>
                </c:pt>
                <c:pt idx="34">
                  <c:v>-31751.954412128245</c:v>
                </c:pt>
                <c:pt idx="35">
                  <c:v>-32497.966996070536</c:v>
                </c:pt>
                <c:pt idx="36">
                  <c:v>-33281.963002421369</c:v>
                </c:pt>
                <c:pt idx="37">
                  <c:v>-34088.732500944003</c:v>
                </c:pt>
                <c:pt idx="38">
                  <c:v>-34902.449790252489</c:v>
                </c:pt>
                <c:pt idx="39">
                  <c:v>-35706.673397811632</c:v>
                </c:pt>
                <c:pt idx="40">
                  <c:v>-36484.346079937168</c:v>
                </c:pt>
                <c:pt idx="41">
                  <c:v>-37217.794821795535</c:v>
                </c:pt>
                <c:pt idx="42">
                  <c:v>-37888.730837404051</c:v>
                </c:pt>
                <c:pt idx="43">
                  <c:v>-38478.249569630752</c:v>
                </c:pt>
                <c:pt idx="44">
                  <c:v>-38966.830690194583</c:v>
                </c:pt>
                <c:pt idx="45">
                  <c:v>-39334.338099665234</c:v>
                </c:pt>
                <c:pt idx="46">
                  <c:v>-39560.019927463254</c:v>
                </c:pt>
                <c:pt idx="47">
                  <c:v>-39622.508531859967</c:v>
                </c:pt>
                <c:pt idx="48">
                  <c:v>-39499.820499977468</c:v>
                </c:pt>
                <c:pt idx="49">
                  <c:v>-39169.356647788773</c:v>
                </c:pt>
                <c:pt idx="50">
                  <c:v>-38607.902020117639</c:v>
                </c:pt>
                <c:pt idx="51">
                  <c:v>-37791.625890638585</c:v>
                </c:pt>
                <c:pt idx="52">
                  <c:v>-36696.081761877002</c:v>
                </c:pt>
                <c:pt idx="53">
                  <c:v>-35296.207365209098</c:v>
                </c:pt>
                <c:pt idx="54">
                  <c:v>-33566.324660861857</c:v>
                </c:pt>
                <c:pt idx="55">
                  <c:v>-31480.139837913077</c:v>
                </c:pt>
                <c:pt idx="56">
                  <c:v>-29010.743314291416</c:v>
                </c:pt>
                <c:pt idx="57">
                  <c:v>-26130.609736776176</c:v>
                </c:pt>
                <c:pt idx="58">
                  <c:v>-22811.597980997707</c:v>
                </c:pt>
                <c:pt idx="59">
                  <c:v>-19024.951151437119</c:v>
                </c:pt>
                <c:pt idx="60">
                  <c:v>-14741.296581426104</c:v>
                </c:pt>
                <c:pt idx="61">
                  <c:v>-9930.6458331473477</c:v>
                </c:pt>
                <c:pt idx="62">
                  <c:v>-4562.3946976344232</c:v>
                </c:pt>
                <c:pt idx="63">
                  <c:v>1394.6768052284824</c:v>
                </c:pt>
                <c:pt idx="64">
                  <c:v>7972.4044267063073</c:v>
                </c:pt>
                <c:pt idx="65">
                  <c:v>15203.2396892131</c:v>
                </c:pt>
                <c:pt idx="66">
                  <c:v>23120.249886312049</c:v>
                </c:pt>
                <c:pt idx="67">
                  <c:v>31757.118082715773</c:v>
                </c:pt>
                <c:pt idx="68">
                  <c:v>41148.143114286031</c:v>
                </c:pt>
                <c:pt idx="69">
                  <c:v>51328.239588033342</c:v>
                </c:pt>
                <c:pt idx="70">
                  <c:v>62332.937882118211</c:v>
                </c:pt>
                <c:pt idx="71">
                  <c:v>74198.384145849559</c:v>
                </c:pt>
                <c:pt idx="72">
                  <c:v>86961.340299686039</c:v>
                </c:pt>
                <c:pt idx="73">
                  <c:v>100659.18403523506</c:v>
                </c:pt>
                <c:pt idx="74">
                  <c:v>115329.90881525338</c:v>
                </c:pt>
                <c:pt idx="75">
                  <c:v>131012.12387364742</c:v>
                </c:pt>
                <c:pt idx="76">
                  <c:v>147745.05421547196</c:v>
                </c:pt>
                <c:pt idx="77">
                  <c:v>165568.54061693177</c:v>
                </c:pt>
                <c:pt idx="78">
                  <c:v>184523.03962538004</c:v>
                </c:pt>
                <c:pt idx="79">
                  <c:v>204649.62355932008</c:v>
                </c:pt>
                <c:pt idx="80">
                  <c:v>225989.9805084031</c:v>
                </c:pt>
                <c:pt idx="81">
                  <c:v>248586.41433343047</c:v>
                </c:pt>
                <c:pt idx="82">
                  <c:v>272481.84466635319</c:v>
                </c:pt>
                <c:pt idx="83">
                  <c:v>297719.8069102703</c:v>
                </c:pt>
                <c:pt idx="84">
                  <c:v>324344.45223943057</c:v>
                </c:pt>
                <c:pt idx="85">
                  <c:v>352400.54759923142</c:v>
                </c:pt>
                <c:pt idx="86">
                  <c:v>381933.4757062209</c:v>
                </c:pt>
                <c:pt idx="87">
                  <c:v>412989.23504809465</c:v>
                </c:pt>
                <c:pt idx="88">
                  <c:v>445614.43988369819</c:v>
                </c:pt>
                <c:pt idx="89">
                  <c:v>479856.32024302677</c:v>
                </c:pt>
                <c:pt idx="90">
                  <c:v>515762.72192722344</c:v>
                </c:pt>
                <c:pt idx="91">
                  <c:v>553382.10650858213</c:v>
                </c:pt>
                <c:pt idx="92">
                  <c:v>592763.55133054394</c:v>
                </c:pt>
                <c:pt idx="93">
                  <c:v>633956.74950770184</c:v>
                </c:pt>
                <c:pt idx="94">
                  <c:v>677012.0099257949</c:v>
                </c:pt>
                <c:pt idx="95">
                  <c:v>721980.25724171451</c:v>
                </c:pt>
                <c:pt idx="96">
                  <c:v>768913.03188349772</c:v>
                </c:pt>
                <c:pt idx="97">
                  <c:v>817862.4900503346</c:v>
                </c:pt>
                <c:pt idx="98">
                  <c:v>868881.4037125617</c:v>
                </c:pt>
                <c:pt idx="99">
                  <c:v>922023.16061166557</c:v>
                </c:pt>
                <c:pt idx="100">
                  <c:v>977341.76426028262</c:v>
                </c:pt>
              </c:numCache>
            </c:numRef>
          </c:yVal>
          <c:smooth val="1"/>
          <c:extLst>
            <c:ext xmlns:c16="http://schemas.microsoft.com/office/drawing/2014/chart" uri="{C3380CC4-5D6E-409C-BE32-E72D297353CC}">
              <c16:uniqueId val="{00000000-62B8-4A02-BE9F-37BAD918EF32}"/>
            </c:ext>
          </c:extLst>
        </c:ser>
        <c:ser>
          <c:idx val="1"/>
          <c:order val="1"/>
          <c:tx>
            <c:v>計算区間</c:v>
          </c:tx>
          <c:spPr>
            <a:ln w="19050" cap="rnd">
              <a:solidFill>
                <a:schemeClr val="accent2"/>
              </a:solidFill>
              <a:round/>
            </a:ln>
            <a:effectLst/>
          </c:spPr>
          <c:marker>
            <c:symbol val="none"/>
          </c:marker>
          <c:xVal>
            <c:numRef>
              <c:f>D_8!$AU$15:$AU$1015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D_8!$AT$15:$AT$1015</c:f>
              <c:numCache>
                <c:formatCode>General</c:formatCode>
                <c:ptCount val="1001"/>
                <c:pt idx="0">
                  <c:v>-28951.926935248819</c:v>
                </c:pt>
                <c:pt idx="1">
                  <c:v>-28843.609933451473</c:v>
                </c:pt>
                <c:pt idx="2">
                  <c:v>-28773.244096476315</c:v>
                </c:pt>
                <c:pt idx="3">
                  <c:v>-28739.678654131825</c:v>
                </c:pt>
                <c:pt idx="4">
                  <c:v>-28741.724350529643</c:v>
                </c:pt>
                <c:pt idx="5">
                  <c:v>-28778.153444084619</c:v>
                </c:pt>
                <c:pt idx="6">
                  <c:v>-28847.699707514759</c:v>
                </c:pt>
                <c:pt idx="7">
                  <c:v>-28949.058427841232</c:v>
                </c:pt>
                <c:pt idx="8">
                  <c:v>-29080.886406388407</c:v>
                </c:pt>
                <c:pt idx="9">
                  <c:v>-29241.801958783824</c:v>
                </c:pt>
                <c:pt idx="10">
                  <c:v>-29430.384914958184</c:v>
                </c:pt>
                <c:pt idx="11">
                  <c:v>-29645.176619145368</c:v>
                </c:pt>
                <c:pt idx="12">
                  <c:v>-29884.679929882455</c:v>
                </c:pt>
                <c:pt idx="13">
                  <c:v>-30147.359220009668</c:v>
                </c:pt>
                <c:pt idx="14">
                  <c:v>-30431.640376670417</c:v>
                </c:pt>
                <c:pt idx="15">
                  <c:v>-30735.910801311307</c:v>
                </c:pt>
                <c:pt idx="16">
                  <c:v>-31058.519409682078</c:v>
                </c:pt>
                <c:pt idx="17">
                  <c:v>-31397.776631835681</c:v>
                </c:pt>
                <c:pt idx="18">
                  <c:v>-31751.954412128245</c:v>
                </c:pt>
                <c:pt idx="19">
                  <c:v>-32119.286209219026</c:v>
                </c:pt>
                <c:pt idx="20">
                  <c:v>-32497.966996070536</c:v>
                </c:pt>
                <c:pt idx="21">
                  <c:v>-32886.153259948369</c:v>
                </c:pt>
                <c:pt idx="22">
                  <c:v>-33281.963002421377</c:v>
                </c:pt>
                <c:pt idx="23">
                  <c:v>-33683.475739361529</c:v>
                </c:pt>
                <c:pt idx="24">
                  <c:v>-34088.732500943996</c:v>
                </c:pt>
                <c:pt idx="25">
                  <c:v>-34495.735831647158</c:v>
                </c:pt>
                <c:pt idx="26">
                  <c:v>-34902.449790252467</c:v>
                </c:pt>
                <c:pt idx="27">
                  <c:v>-35306.799949844681</c:v>
                </c:pt>
                <c:pt idx="28">
                  <c:v>-35706.673397811632</c:v>
                </c:pt>
                <c:pt idx="29">
                  <c:v>-36099.918735844396</c:v>
                </c:pt>
                <c:pt idx="30">
                  <c:v>-36484.346079937168</c:v>
                </c:pt>
                <c:pt idx="31">
                  <c:v>-36857.727060387369</c:v>
                </c:pt>
                <c:pt idx="32">
                  <c:v>-37217.794821795535</c:v>
                </c:pt>
                <c:pt idx="33">
                  <c:v>-37562.244023065454</c:v>
                </c:pt>
                <c:pt idx="34">
                  <c:v>-37888.730837404051</c:v>
                </c:pt>
                <c:pt idx="35">
                  <c:v>-38194.872952321377</c:v>
                </c:pt>
                <c:pt idx="36">
                  <c:v>-38478.249569630752</c:v>
                </c:pt>
                <c:pt idx="37">
                  <c:v>-38736.401405448611</c:v>
                </c:pt>
                <c:pt idx="38">
                  <c:v>-38966.830690194583</c:v>
                </c:pt>
                <c:pt idx="39">
                  <c:v>-39167.001168591458</c:v>
                </c:pt>
                <c:pt idx="40">
                  <c:v>-39334.338099665234</c:v>
                </c:pt>
                <c:pt idx="41">
                  <c:v>-39466.228256745053</c:v>
                </c:pt>
                <c:pt idx="42">
                  <c:v>-39560.019927463254</c:v>
                </c:pt>
                <c:pt idx="43">
                  <c:v>-39613.022913755332</c:v>
                </c:pt>
                <c:pt idx="44">
                  <c:v>-39622.508531859967</c:v>
                </c:pt>
                <c:pt idx="45">
                  <c:v>-39585.709612318991</c:v>
                </c:pt>
                <c:pt idx="46">
                  <c:v>-39499.820499977468</c:v>
                </c:pt>
                <c:pt idx="47">
                  <c:v>-39361.997053983614</c:v>
                </c:pt>
                <c:pt idx="48">
                  <c:v>-39169.356647788773</c:v>
                </c:pt>
                <c:pt idx="49">
                  <c:v>-38918.978169147573</c:v>
                </c:pt>
                <c:pt idx="50">
                  <c:v>-38607.902020117639</c:v>
                </c:pt>
                <c:pt idx="51">
                  <c:v>-38233.13011705994</c:v>
                </c:pt>
                <c:pt idx="52">
                  <c:v>-37791.625890638585</c:v>
                </c:pt>
                <c:pt idx="53">
                  <c:v>-37280.314285820779</c:v>
                </c:pt>
                <c:pt idx="54">
                  <c:v>-36696.081761877002</c:v>
                </c:pt>
                <c:pt idx="55">
                  <c:v>-36035.776292380855</c:v>
                </c:pt>
                <c:pt idx="56">
                  <c:v>-35296.207365209098</c:v>
                </c:pt>
                <c:pt idx="57">
                  <c:v>-34474.145982541704</c:v>
                </c:pt>
                <c:pt idx="58">
                  <c:v>-33566.324660861828</c:v>
                </c:pt>
                <c:pt idx="59">
                  <c:v>-32569.437430955797</c:v>
                </c:pt>
                <c:pt idx="60">
                  <c:v>-31480.139837913077</c:v>
                </c:pt>
                <c:pt idx="61">
                  <c:v>-30295.048941126304</c:v>
                </c:pt>
                <c:pt idx="62">
                  <c:v>-29010.743314291401</c:v>
                </c:pt>
                <c:pt idx="63">
                  <c:v>-27623.763045407286</c:v>
                </c:pt>
                <c:pt idx="64">
                  <c:v>-26130.609736776176</c:v>
                </c:pt>
                <c:pt idx="65">
                  <c:v>-24527.746505003503</c:v>
                </c:pt>
                <c:pt idx="66">
                  <c:v>-22811.59798099778</c:v>
                </c:pt>
                <c:pt idx="67">
                  <c:v>-20978.550309970662</c:v>
                </c:pt>
                <c:pt idx="68">
                  <c:v>-19024.951151437119</c:v>
                </c:pt>
                <c:pt idx="69">
                  <c:v>-16947.109679215173</c:v>
                </c:pt>
                <c:pt idx="70">
                  <c:v>-14741.296581426075</c:v>
                </c:pt>
                <c:pt idx="71">
                  <c:v>-12403.744060494289</c:v>
                </c:pt>
                <c:pt idx="72">
                  <c:v>-9930.6458331473477</c:v>
                </c:pt>
                <c:pt idx="73">
                  <c:v>-7318.1571304160534</c:v>
                </c:pt>
                <c:pt idx="74">
                  <c:v>-4562.3946976344232</c:v>
                </c:pt>
                <c:pt idx="75">
                  <c:v>-1659.4367944394544</c:v>
                </c:pt>
                <c:pt idx="76">
                  <c:v>1394.6768052284824</c:v>
                </c:pt>
                <c:pt idx="77">
                  <c:v>4603.9448131260506</c:v>
                </c:pt>
                <c:pt idx="78">
                  <c:v>7972.4044267063073</c:v>
                </c:pt>
                <c:pt idx="79">
                  <c:v>11504.131329119664</c:v>
                </c:pt>
                <c:pt idx="80">
                  <c:v>15203.239689213042</c:v>
                </c:pt>
                <c:pt idx="81">
                  <c:v>19073.88216153028</c:v>
                </c:pt>
                <c:pt idx="82">
                  <c:v>23120.249886312049</c:v>
                </c:pt>
                <c:pt idx="83">
                  <c:v>27346.572489495789</c:v>
                </c:pt>
                <c:pt idx="84">
                  <c:v>31757.118082715802</c:v>
                </c:pt>
                <c:pt idx="85">
                  <c:v>36356.193263303219</c:v>
                </c:pt>
                <c:pt idx="86">
                  <c:v>41148.143114286031</c:v>
                </c:pt>
                <c:pt idx="87">
                  <c:v>46137.351204388797</c:v>
                </c:pt>
                <c:pt idx="88">
                  <c:v>51328.239588033342</c:v>
                </c:pt>
                <c:pt idx="89">
                  <c:v>56725.268805338179</c:v>
                </c:pt>
                <c:pt idx="90">
                  <c:v>62332.937882118124</c:v>
                </c:pt>
                <c:pt idx="91">
                  <c:v>68155.784329885762</c:v>
                </c:pt>
                <c:pt idx="92">
                  <c:v>74198.384145849559</c:v>
                </c:pt>
                <c:pt idx="93">
                  <c:v>80465.351812915498</c:v>
                </c:pt>
                <c:pt idx="94">
                  <c:v>86961.340299685951</c:v>
                </c:pt>
                <c:pt idx="95">
                  <c:v>93691.04106046044</c:v>
                </c:pt>
                <c:pt idx="96">
                  <c:v>100659.18403523506</c:v>
                </c:pt>
                <c:pt idx="97">
                  <c:v>107870.53764970269</c:v>
                </c:pt>
                <c:pt idx="98">
                  <c:v>115329.90881525353</c:v>
                </c:pt>
                <c:pt idx="99">
                  <c:v>123042.14292897383</c:v>
                </c:pt>
                <c:pt idx="100">
                  <c:v>131012.12387364742</c:v>
                </c:pt>
              </c:numCache>
            </c:numRef>
          </c:yVal>
          <c:smooth val="1"/>
          <c:extLst>
            <c:ext xmlns:c16="http://schemas.microsoft.com/office/drawing/2014/chart" uri="{C3380CC4-5D6E-409C-BE32-E72D297353CC}">
              <c16:uniqueId val="{00000001-62B8-4A02-BE9F-37BAD918EF32}"/>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tx>
            <c:v>計算区間</c:v>
          </c:tx>
          <c:spPr>
            <a:ln w="19050" cap="rnd">
              <a:solidFill>
                <a:schemeClr val="accent2"/>
              </a:solidFill>
              <a:round/>
            </a:ln>
            <a:effectLst/>
          </c:spPr>
          <c:marker>
            <c:symbol val="none"/>
          </c:marker>
          <c:xVal>
            <c:numRef>
              <c:f>D_9!$AU$15:$AU$1015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D_9!$AT$15:$AT$1015</c:f>
              <c:numCache>
                <c:formatCode>General</c:formatCode>
                <c:ptCount val="1001"/>
                <c:pt idx="0">
                  <c:v>-20738.835427972183</c:v>
                </c:pt>
                <c:pt idx="1">
                  <c:v>-20889.451333966568</c:v>
                </c:pt>
                <c:pt idx="2">
                  <c:v>-21074.044851879917</c:v>
                </c:pt>
                <c:pt idx="3">
                  <c:v>-21291.47830144328</c:v>
                </c:pt>
                <c:pt idx="4">
                  <c:v>-21540.575516690878</c:v>
                </c:pt>
                <c:pt idx="5">
                  <c:v>-21820.121845960111</c:v>
                </c:pt>
                <c:pt idx="6">
                  <c:v>-22128.864151891557</c:v>
                </c:pt>
                <c:pt idx="7">
                  <c:v>-22465.510811428958</c:v>
                </c:pt>
                <c:pt idx="8">
                  <c:v>-22828.731715819249</c:v>
                </c:pt>
                <c:pt idx="9">
                  <c:v>-23217.15827061253</c:v>
                </c:pt>
                <c:pt idx="10">
                  <c:v>-23629.383395662073</c:v>
                </c:pt>
                <c:pt idx="11">
                  <c:v>-24063.961525124345</c:v>
                </c:pt>
                <c:pt idx="12">
                  <c:v>-24519.40860745895</c:v>
                </c:pt>
                <c:pt idx="13">
                  <c:v>-24994.202105428722</c:v>
                </c:pt>
                <c:pt idx="14">
                  <c:v>-25486.780996099613</c:v>
                </c:pt>
                <c:pt idx="15">
                  <c:v>-25995.545770840788</c:v>
                </c:pt>
                <c:pt idx="16">
                  <c:v>-26518.858435324579</c:v>
                </c:pt>
                <c:pt idx="17">
                  <c:v>-27055.042509526513</c:v>
                </c:pt>
                <c:pt idx="18">
                  <c:v>-27602.383027725231</c:v>
                </c:pt>
                <c:pt idx="19">
                  <c:v>-28159.126538502609</c:v>
                </c:pt>
                <c:pt idx="20">
                  <c:v>-28723.481104743692</c:v>
                </c:pt>
                <c:pt idx="21">
                  <c:v>-29293.616303636674</c:v>
                </c:pt>
                <c:pt idx="22">
                  <c:v>-29867.663226672939</c:v>
                </c:pt>
                <c:pt idx="23">
                  <c:v>-30443.714479647064</c:v>
                </c:pt>
                <c:pt idx="24">
                  <c:v>-31019.824182656765</c:v>
                </c:pt>
                <c:pt idx="25">
                  <c:v>-31594.007970102964</c:v>
                </c:pt>
                <c:pt idx="26">
                  <c:v>-32164.242990689734</c:v>
                </c:pt>
                <c:pt idx="27">
                  <c:v>-32728.467907424365</c:v>
                </c:pt>
                <c:pt idx="28">
                  <c:v>-33284.582897617249</c:v>
                </c:pt>
                <c:pt idx="29">
                  <c:v>-33830.44965288206</c:v>
                </c:pt>
                <c:pt idx="30">
                  <c:v>-34363.89137913553</c:v>
                </c:pt>
                <c:pt idx="31">
                  <c:v>-34882.69279659765</c:v>
                </c:pt>
                <c:pt idx="32">
                  <c:v>-35384.600139791539</c:v>
                </c:pt>
                <c:pt idx="33">
                  <c:v>-35867.321157543571</c:v>
                </c:pt>
                <c:pt idx="34">
                  <c:v>-36328.525112983174</c:v>
                </c:pt>
                <c:pt idx="35">
                  <c:v>-36765.842783543034</c:v>
                </c:pt>
                <c:pt idx="36">
                  <c:v>-37176.866460959005</c:v>
                </c:pt>
                <c:pt idx="37">
                  <c:v>-37559.149951270098</c:v>
                </c:pt>
                <c:pt idx="38">
                  <c:v>-37910.208574818505</c:v>
                </c:pt>
                <c:pt idx="39">
                  <c:v>-38227.519166249578</c:v>
                </c:pt>
                <c:pt idx="40">
                  <c:v>-38508.520074511893</c:v>
                </c:pt>
                <c:pt idx="41">
                  <c:v>-38750.611162857138</c:v>
                </c:pt>
                <c:pt idx="42">
                  <c:v>-38951.153808840245</c:v>
                </c:pt>
                <c:pt idx="43">
                  <c:v>-39107.470904319256</c:v>
                </c:pt>
                <c:pt idx="44">
                  <c:v>-39216.846855455442</c:v>
                </c:pt>
                <c:pt idx="45">
                  <c:v>-39276.527582713199</c:v>
                </c:pt>
                <c:pt idx="46">
                  <c:v>-39283.720520860166</c:v>
                </c:pt>
                <c:pt idx="47">
                  <c:v>-39235.594618967065</c:v>
                </c:pt>
                <c:pt idx="48">
                  <c:v>-39129.280340407888</c:v>
                </c:pt>
                <c:pt idx="49">
                  <c:v>-38961.86966285971</c:v>
                </c:pt>
                <c:pt idx="50">
                  <c:v>-38730.416078302893</c:v>
                </c:pt>
                <c:pt idx="51">
                  <c:v>-38431.934593020866</c:v>
                </c:pt>
                <c:pt idx="52">
                  <c:v>-38063.4017276003</c:v>
                </c:pt>
                <c:pt idx="53">
                  <c:v>-37621.755516931022</c:v>
                </c:pt>
                <c:pt idx="54">
                  <c:v>-37103.895510206014</c:v>
                </c:pt>
                <c:pt idx="55">
                  <c:v>-36506.682770921485</c:v>
                </c:pt>
                <c:pt idx="56">
                  <c:v>-35826.939876876786</c:v>
                </c:pt>
                <c:pt idx="57">
                  <c:v>-35061.450920174422</c:v>
                </c:pt>
                <c:pt idx="58">
                  <c:v>-34206.961507220127</c:v>
                </c:pt>
                <c:pt idx="59">
                  <c:v>-33260.178758722803</c:v>
                </c:pt>
                <c:pt idx="60">
                  <c:v>-32217.771309694454</c:v>
                </c:pt>
                <c:pt idx="61">
                  <c:v>-31076.369309450271</c:v>
                </c:pt>
                <c:pt idx="62">
                  <c:v>-29832.564421608771</c:v>
                </c:pt>
                <c:pt idx="63">
                  <c:v>-28482.909824091479</c:v>
                </c:pt>
                <c:pt idx="64">
                  <c:v>-27023.920209123116</c:v>
                </c:pt>
                <c:pt idx="65">
                  <c:v>-25452.071783231691</c:v>
                </c:pt>
                <c:pt idx="66">
                  <c:v>-23763.802267248295</c:v>
                </c:pt>
                <c:pt idx="67">
                  <c:v>-21955.510896307202</c:v>
                </c:pt>
                <c:pt idx="68">
                  <c:v>-20023.558419845856</c:v>
                </c:pt>
                <c:pt idx="69">
                  <c:v>-17964.267101604917</c:v>
                </c:pt>
                <c:pt idx="70">
                  <c:v>-15773.920719628182</c:v>
                </c:pt>
                <c:pt idx="71">
                  <c:v>-13448.764566262664</c:v>
                </c:pt>
                <c:pt idx="72">
                  <c:v>-10985.00544815847</c:v>
                </c:pt>
                <c:pt idx="73">
                  <c:v>-8378.8116862690113</c:v>
                </c:pt>
                <c:pt idx="74">
                  <c:v>-5626.3131158507786</c:v>
                </c:pt>
                <c:pt idx="75">
                  <c:v>-2723.6010864634191</c:v>
                </c:pt>
                <c:pt idx="76">
                  <c:v>333.2715380301488</c:v>
                </c:pt>
                <c:pt idx="77">
                  <c:v>3548.2903794639533</c:v>
                </c:pt>
                <c:pt idx="78">
                  <c:v>6925.4795453686493</c:v>
                </c:pt>
                <c:pt idx="79">
                  <c:v>10468.901628971955</c:v>
                </c:pt>
                <c:pt idx="80">
                  <c:v>14182.657709198302</c:v>
                </c:pt>
                <c:pt idx="81">
                  <c:v>18070.887350668851</c:v>
                </c:pt>
                <c:pt idx="82">
                  <c:v>22137.768603701883</c:v>
                </c:pt>
                <c:pt idx="83">
                  <c:v>26387.51800431206</c:v>
                </c:pt>
                <c:pt idx="84">
                  <c:v>30824.390574211222</c:v>
                </c:pt>
                <c:pt idx="85">
                  <c:v>35452.679820807942</c:v>
                </c:pt>
                <c:pt idx="86">
                  <c:v>40276.717737207684</c:v>
                </c:pt>
                <c:pt idx="87">
                  <c:v>45300.874802212304</c:v>
                </c:pt>
                <c:pt idx="88">
                  <c:v>50529.559980321268</c:v>
                </c:pt>
                <c:pt idx="89">
                  <c:v>55967.220721730264</c:v>
                </c:pt>
                <c:pt idx="90">
                  <c:v>61618.342962331706</c:v>
                </c:pt>
                <c:pt idx="91">
                  <c:v>67487.451123715538</c:v>
                </c:pt>
                <c:pt idx="92">
                  <c:v>73579.108113167778</c:v>
                </c:pt>
                <c:pt idx="93">
                  <c:v>79897.915323671739</c:v>
                </c:pt>
                <c:pt idx="94">
                  <c:v>86448.512633907274</c:v>
                </c:pt>
                <c:pt idx="95">
                  <c:v>93235.57840825124</c:v>
                </c:pt>
                <c:pt idx="96">
                  <c:v>100263.82949677733</c:v>
                </c:pt>
                <c:pt idx="97">
                  <c:v>107538.02123525574</c:v>
                </c:pt>
                <c:pt idx="98">
                  <c:v>115062.94744515403</c:v>
                </c:pt>
                <c:pt idx="99">
                  <c:v>122843.44043363609</c:v>
                </c:pt>
                <c:pt idx="100">
                  <c:v>130884.37099356311</c:v>
                </c:pt>
              </c:numCache>
            </c:numRef>
          </c:yVal>
          <c:smooth val="1"/>
          <c:extLst>
            <c:ext xmlns:c16="http://schemas.microsoft.com/office/drawing/2014/chart" uri="{C3380CC4-5D6E-409C-BE32-E72D297353CC}">
              <c16:uniqueId val="{00000000-F9A8-44B4-BC7C-05E44B181D95}"/>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外挿区間</c:v>
          </c:tx>
          <c:spPr>
            <a:ln w="12700" cap="rnd">
              <a:solidFill>
                <a:schemeClr val="accent1"/>
              </a:solidFill>
              <a:prstDash val="sysDash"/>
              <a:round/>
            </a:ln>
            <a:effectLst/>
          </c:spPr>
          <c:marker>
            <c:symbol val="none"/>
          </c:marker>
          <c:xVal>
            <c:numRef>
              <c:f>D_9!$AR$15:$AR$1015</c:f>
              <c:numCache>
                <c:formatCode>General</c:formatCode>
                <c:ptCount val="1001"/>
                <c:pt idx="0">
                  <c:v>-6</c:v>
                </c:pt>
                <c:pt idx="1">
                  <c:v>-5.52</c:v>
                </c:pt>
                <c:pt idx="2">
                  <c:v>-5.04</c:v>
                </c:pt>
                <c:pt idx="3">
                  <c:v>-4.5600000000000005</c:v>
                </c:pt>
                <c:pt idx="4">
                  <c:v>-4.08</c:v>
                </c:pt>
                <c:pt idx="5">
                  <c:v>-3.5999999999999996</c:v>
                </c:pt>
                <c:pt idx="6">
                  <c:v>-3.120000000000001</c:v>
                </c:pt>
                <c:pt idx="7">
                  <c:v>-2.6400000000000006</c:v>
                </c:pt>
                <c:pt idx="8">
                  <c:v>-2.16</c:v>
                </c:pt>
                <c:pt idx="9">
                  <c:v>-1.6799999999999997</c:v>
                </c:pt>
                <c:pt idx="10">
                  <c:v>-1.1999999999999993</c:v>
                </c:pt>
                <c:pt idx="11">
                  <c:v>-0.72000000000000064</c:v>
                </c:pt>
                <c:pt idx="12">
                  <c:v>-0.24000000000000021</c:v>
                </c:pt>
                <c:pt idx="13">
                  <c:v>0.24000000000000021</c:v>
                </c:pt>
                <c:pt idx="14">
                  <c:v>0.71999999999999886</c:v>
                </c:pt>
                <c:pt idx="15">
                  <c:v>1.1999999999999993</c:v>
                </c:pt>
                <c:pt idx="16">
                  <c:v>1.6799999999999997</c:v>
                </c:pt>
                <c:pt idx="17">
                  <c:v>2.16</c:v>
                </c:pt>
                <c:pt idx="18">
                  <c:v>2.6400000000000006</c:v>
                </c:pt>
                <c:pt idx="19">
                  <c:v>3.1199999999999992</c:v>
                </c:pt>
                <c:pt idx="20">
                  <c:v>3.5999999999999996</c:v>
                </c:pt>
                <c:pt idx="21">
                  <c:v>4.0799999999999983</c:v>
                </c:pt>
                <c:pt idx="22">
                  <c:v>4.5599999999999987</c:v>
                </c:pt>
                <c:pt idx="23">
                  <c:v>5.0399999999999991</c:v>
                </c:pt>
                <c:pt idx="24">
                  <c:v>5.52</c:v>
                </c:pt>
                <c:pt idx="25">
                  <c:v>6</c:v>
                </c:pt>
                <c:pt idx="26">
                  <c:v>6.48</c:v>
                </c:pt>
                <c:pt idx="27">
                  <c:v>6.9600000000000009</c:v>
                </c:pt>
                <c:pt idx="28">
                  <c:v>7.4399999999999977</c:v>
                </c:pt>
                <c:pt idx="29">
                  <c:v>7.9200000000000017</c:v>
                </c:pt>
                <c:pt idx="30">
                  <c:v>8.3999999999999986</c:v>
                </c:pt>
                <c:pt idx="31">
                  <c:v>8.879999999999999</c:v>
                </c:pt>
                <c:pt idx="32">
                  <c:v>9.36</c:v>
                </c:pt>
                <c:pt idx="33">
                  <c:v>9.84</c:v>
                </c:pt>
                <c:pt idx="34">
                  <c:v>10.32</c:v>
                </c:pt>
                <c:pt idx="35">
                  <c:v>10.8</c:v>
                </c:pt>
                <c:pt idx="36">
                  <c:v>11.280000000000001</c:v>
                </c:pt>
                <c:pt idx="37">
                  <c:v>11.759999999999998</c:v>
                </c:pt>
                <c:pt idx="38">
                  <c:v>12.239999999999998</c:v>
                </c:pt>
                <c:pt idx="39">
                  <c:v>12.719999999999999</c:v>
                </c:pt>
                <c:pt idx="40">
                  <c:v>13.2</c:v>
                </c:pt>
                <c:pt idx="41">
                  <c:v>13.68</c:v>
                </c:pt>
                <c:pt idx="42">
                  <c:v>14.16</c:v>
                </c:pt>
                <c:pt idx="43">
                  <c:v>14.64</c:v>
                </c:pt>
                <c:pt idx="44">
                  <c:v>15.119999999999997</c:v>
                </c:pt>
                <c:pt idx="45">
                  <c:v>15.599999999999998</c:v>
                </c:pt>
                <c:pt idx="46">
                  <c:v>16.079999999999998</c:v>
                </c:pt>
                <c:pt idx="47">
                  <c:v>16.559999999999999</c:v>
                </c:pt>
                <c:pt idx="48">
                  <c:v>17.04</c:v>
                </c:pt>
                <c:pt idx="49">
                  <c:v>17.52</c:v>
                </c:pt>
                <c:pt idx="50">
                  <c:v>18</c:v>
                </c:pt>
                <c:pt idx="51">
                  <c:v>18.48</c:v>
                </c:pt>
                <c:pt idx="52">
                  <c:v>18.96</c:v>
                </c:pt>
                <c:pt idx="53">
                  <c:v>19.439999999999998</c:v>
                </c:pt>
                <c:pt idx="54">
                  <c:v>19.919999999999998</c:v>
                </c:pt>
                <c:pt idx="55">
                  <c:v>20.399999999999999</c:v>
                </c:pt>
                <c:pt idx="56">
                  <c:v>20.879999999999995</c:v>
                </c:pt>
                <c:pt idx="57">
                  <c:v>21.36</c:v>
                </c:pt>
                <c:pt idx="58">
                  <c:v>21.840000000000003</c:v>
                </c:pt>
                <c:pt idx="59">
                  <c:v>22.32</c:v>
                </c:pt>
                <c:pt idx="60">
                  <c:v>22.799999999999997</c:v>
                </c:pt>
                <c:pt idx="61">
                  <c:v>23.28</c:v>
                </c:pt>
                <c:pt idx="62">
                  <c:v>23.759999999999998</c:v>
                </c:pt>
                <c:pt idx="63">
                  <c:v>24.239999999999995</c:v>
                </c:pt>
                <c:pt idx="64">
                  <c:v>24.72</c:v>
                </c:pt>
                <c:pt idx="65">
                  <c:v>25.200000000000003</c:v>
                </c:pt>
                <c:pt idx="66">
                  <c:v>25.68</c:v>
                </c:pt>
                <c:pt idx="67">
                  <c:v>26.159999999999997</c:v>
                </c:pt>
                <c:pt idx="68">
                  <c:v>26.64</c:v>
                </c:pt>
                <c:pt idx="69">
                  <c:v>27.119999999999997</c:v>
                </c:pt>
                <c:pt idx="70">
                  <c:v>27.6</c:v>
                </c:pt>
                <c:pt idx="71">
                  <c:v>28.08</c:v>
                </c:pt>
                <c:pt idx="72">
                  <c:v>28.560000000000002</c:v>
                </c:pt>
                <c:pt idx="73">
                  <c:v>29.04</c:v>
                </c:pt>
                <c:pt idx="74">
                  <c:v>29.519999999999996</c:v>
                </c:pt>
                <c:pt idx="75">
                  <c:v>30</c:v>
                </c:pt>
                <c:pt idx="76">
                  <c:v>30.479999999999997</c:v>
                </c:pt>
                <c:pt idx="77">
                  <c:v>30.96</c:v>
                </c:pt>
                <c:pt idx="78">
                  <c:v>31.439999999999998</c:v>
                </c:pt>
                <c:pt idx="79">
                  <c:v>31.92</c:v>
                </c:pt>
                <c:pt idx="80">
                  <c:v>32.4</c:v>
                </c:pt>
                <c:pt idx="81">
                  <c:v>32.879999999999995</c:v>
                </c:pt>
                <c:pt idx="82">
                  <c:v>33.36</c:v>
                </c:pt>
                <c:pt idx="83">
                  <c:v>33.839999999999996</c:v>
                </c:pt>
                <c:pt idx="84">
                  <c:v>34.32</c:v>
                </c:pt>
                <c:pt idx="85">
                  <c:v>34.799999999999997</c:v>
                </c:pt>
                <c:pt idx="86">
                  <c:v>35.28</c:v>
                </c:pt>
                <c:pt idx="87">
                  <c:v>35.76</c:v>
                </c:pt>
                <c:pt idx="88">
                  <c:v>36.239999999999995</c:v>
                </c:pt>
                <c:pt idx="89">
                  <c:v>36.72</c:v>
                </c:pt>
                <c:pt idx="90">
                  <c:v>37.199999999999996</c:v>
                </c:pt>
                <c:pt idx="91">
                  <c:v>37.68</c:v>
                </c:pt>
                <c:pt idx="92">
                  <c:v>38.159999999999997</c:v>
                </c:pt>
                <c:pt idx="93">
                  <c:v>38.64</c:v>
                </c:pt>
                <c:pt idx="94">
                  <c:v>39.119999999999997</c:v>
                </c:pt>
                <c:pt idx="95">
                  <c:v>39.6</c:v>
                </c:pt>
                <c:pt idx="96">
                  <c:v>40.08</c:v>
                </c:pt>
                <c:pt idx="97">
                  <c:v>40.559999999999995</c:v>
                </c:pt>
                <c:pt idx="98">
                  <c:v>41.04</c:v>
                </c:pt>
                <c:pt idx="99">
                  <c:v>41.519999999999996</c:v>
                </c:pt>
                <c:pt idx="100">
                  <c:v>42</c:v>
                </c:pt>
              </c:numCache>
            </c:numRef>
          </c:xVal>
          <c:yVal>
            <c:numRef>
              <c:f>D_9!$AQ$15:$AQ$1015</c:f>
              <c:numCache>
                <c:formatCode>General</c:formatCode>
                <c:ptCount val="1001"/>
                <c:pt idx="0">
                  <c:v>-70402.655096156624</c:v>
                </c:pt>
                <c:pt idx="1">
                  <c:v>-66147.90119197662</c:v>
                </c:pt>
                <c:pt idx="2">
                  <c:v>-62063.42466805056</c:v>
                </c:pt>
                <c:pt idx="3">
                  <c:v>-58155.056532594681</c:v>
                </c:pt>
                <c:pt idx="4">
                  <c:v>-54428.012022676063</c:v>
                </c:pt>
                <c:pt idx="5">
                  <c:v>-50886.890604212589</c:v>
                </c:pt>
                <c:pt idx="6">
                  <c:v>-47535.675971972945</c:v>
                </c:pt>
                <c:pt idx="7">
                  <c:v>-44377.736049576619</c:v>
                </c:pt>
                <c:pt idx="8">
                  <c:v>-41415.822989493921</c:v>
                </c:pt>
                <c:pt idx="9">
                  <c:v>-38652.073173045974</c:v>
                </c:pt>
                <c:pt idx="10">
                  <c:v>-36088.007210404707</c:v>
                </c:pt>
                <c:pt idx="11">
                  <c:v>-33724.529940592853</c:v>
                </c:pt>
                <c:pt idx="12">
                  <c:v>-31561.930431483939</c:v>
                </c:pt>
                <c:pt idx="13">
                  <c:v>-29599.881979802336</c:v>
                </c:pt>
                <c:pt idx="14">
                  <c:v>-27837.442111123204</c:v>
                </c:pt>
                <c:pt idx="15">
                  <c:v>-26273.052579872507</c:v>
                </c:pt>
                <c:pt idx="16">
                  <c:v>-24904.539369327034</c:v>
                </c:pt>
                <c:pt idx="17">
                  <c:v>-23729.112691614369</c:v>
                </c:pt>
                <c:pt idx="18">
                  <c:v>-22743.366987712918</c:v>
                </c:pt>
                <c:pt idx="19">
                  <c:v>-21943.280927451888</c:v>
                </c:pt>
                <c:pt idx="20">
                  <c:v>-21324.217409511293</c:v>
                </c:pt>
                <c:pt idx="21">
                  <c:v>-20880.923561421965</c:v>
                </c:pt>
                <c:pt idx="22">
                  <c:v>-20607.53073956554</c:v>
                </c:pt>
                <c:pt idx="23">
                  <c:v>-20497.554529174464</c:v>
                </c:pt>
                <c:pt idx="24">
                  <c:v>-20543.894744331985</c:v>
                </c:pt>
                <c:pt idx="25">
                  <c:v>-20738.835427972183</c:v>
                </c:pt>
                <c:pt idx="26">
                  <c:v>-21074.044851879917</c:v>
                </c:pt>
                <c:pt idx="27">
                  <c:v>-21540.575516690878</c:v>
                </c:pt>
                <c:pt idx="28">
                  <c:v>-22128.86415189155</c:v>
                </c:pt>
                <c:pt idx="29">
                  <c:v>-22828.731715819253</c:v>
                </c:pt>
                <c:pt idx="30">
                  <c:v>-23629.383395662073</c:v>
                </c:pt>
                <c:pt idx="31">
                  <c:v>-24519.40860745895</c:v>
                </c:pt>
                <c:pt idx="32">
                  <c:v>-25486.780996099613</c:v>
                </c:pt>
                <c:pt idx="33">
                  <c:v>-26518.858435324579</c:v>
                </c:pt>
                <c:pt idx="34">
                  <c:v>-27602.383027725231</c:v>
                </c:pt>
                <c:pt idx="35">
                  <c:v>-28723.481104743692</c:v>
                </c:pt>
                <c:pt idx="36">
                  <c:v>-29867.663226672947</c:v>
                </c:pt>
                <c:pt idx="37">
                  <c:v>-31019.824182656765</c:v>
                </c:pt>
                <c:pt idx="38">
                  <c:v>-32164.242990689741</c:v>
                </c:pt>
                <c:pt idx="39">
                  <c:v>-33284.582897617249</c:v>
                </c:pt>
                <c:pt idx="40">
                  <c:v>-34363.89137913553</c:v>
                </c:pt>
                <c:pt idx="41">
                  <c:v>-35384.600139791539</c:v>
                </c:pt>
                <c:pt idx="42">
                  <c:v>-36328.525112983174</c:v>
                </c:pt>
                <c:pt idx="43">
                  <c:v>-37176.866460959005</c:v>
                </c:pt>
                <c:pt idx="44">
                  <c:v>-37910.208574818491</c:v>
                </c:pt>
                <c:pt idx="45">
                  <c:v>-38508.520074511878</c:v>
                </c:pt>
                <c:pt idx="46">
                  <c:v>-38951.153808840245</c:v>
                </c:pt>
                <c:pt idx="47">
                  <c:v>-39216.846855455442</c:v>
                </c:pt>
                <c:pt idx="48">
                  <c:v>-39283.720520860166</c:v>
                </c:pt>
                <c:pt idx="49">
                  <c:v>-39129.280340407888</c:v>
                </c:pt>
                <c:pt idx="50">
                  <c:v>-38730.416078302893</c:v>
                </c:pt>
                <c:pt idx="51">
                  <c:v>-38063.4017276003</c:v>
                </c:pt>
                <c:pt idx="52">
                  <c:v>-37103.895510206014</c:v>
                </c:pt>
                <c:pt idx="53">
                  <c:v>-35826.939876876786</c:v>
                </c:pt>
                <c:pt idx="54">
                  <c:v>-34206.961507220156</c:v>
                </c:pt>
                <c:pt idx="55">
                  <c:v>-32217.771309694454</c:v>
                </c:pt>
                <c:pt idx="56">
                  <c:v>-29832.564421608771</c:v>
                </c:pt>
                <c:pt idx="57">
                  <c:v>-27023.920209123116</c:v>
                </c:pt>
                <c:pt idx="58">
                  <c:v>-23763.80226724828</c:v>
                </c:pt>
                <c:pt idx="59">
                  <c:v>-20023.558419845856</c:v>
                </c:pt>
                <c:pt idx="60">
                  <c:v>-15773.920719628197</c:v>
                </c:pt>
                <c:pt idx="61">
                  <c:v>-10985.00544815847</c:v>
                </c:pt>
                <c:pt idx="62">
                  <c:v>-5626.3131158507786</c:v>
                </c:pt>
                <c:pt idx="63">
                  <c:v>333.27153803010515</c:v>
                </c:pt>
                <c:pt idx="64">
                  <c:v>6925.4795453686493</c:v>
                </c:pt>
                <c:pt idx="65">
                  <c:v>14182.657709198345</c:v>
                </c:pt>
                <c:pt idx="66">
                  <c:v>22137.768603701883</c:v>
                </c:pt>
                <c:pt idx="67">
                  <c:v>30824.390574211207</c:v>
                </c:pt>
                <c:pt idx="68">
                  <c:v>40276.717737207684</c:v>
                </c:pt>
                <c:pt idx="69">
                  <c:v>50529.559980321268</c:v>
                </c:pt>
                <c:pt idx="70">
                  <c:v>61618.342962331837</c:v>
                </c:pt>
                <c:pt idx="71">
                  <c:v>73579.108113167778</c:v>
                </c:pt>
                <c:pt idx="72">
                  <c:v>86448.512633907347</c:v>
                </c:pt>
                <c:pt idx="73">
                  <c:v>100263.82949677733</c:v>
                </c:pt>
                <c:pt idx="74">
                  <c:v>115062.94744515391</c:v>
                </c:pt>
                <c:pt idx="75">
                  <c:v>130884.37099356311</c:v>
                </c:pt>
                <c:pt idx="76">
                  <c:v>147767.22042767899</c:v>
                </c:pt>
                <c:pt idx="77">
                  <c:v>165751.23180432586</c:v>
                </c:pt>
                <c:pt idx="78">
                  <c:v>184876.75695147639</c:v>
                </c:pt>
                <c:pt idx="79">
                  <c:v>205184.76346825331</c:v>
                </c:pt>
                <c:pt idx="80">
                  <c:v>226716.83472492735</c:v>
                </c:pt>
                <c:pt idx="81">
                  <c:v>249515.16986291949</c:v>
                </c:pt>
                <c:pt idx="82">
                  <c:v>273622.58379479981</c:v>
                </c:pt>
                <c:pt idx="83">
                  <c:v>299082.50720428693</c:v>
                </c:pt>
                <c:pt idx="84">
                  <c:v>325938.98654624925</c:v>
                </c:pt>
                <c:pt idx="85">
                  <c:v>354236.68404670368</c:v>
                </c:pt>
                <c:pt idx="86">
                  <c:v>384020.87770281773</c:v>
                </c:pt>
                <c:pt idx="87">
                  <c:v>415337.46128290618</c:v>
                </c:pt>
                <c:pt idx="88">
                  <c:v>448232.94432643446</c:v>
                </c:pt>
                <c:pt idx="89">
                  <c:v>482754.4521440168</c:v>
                </c:pt>
                <c:pt idx="90">
                  <c:v>518949.72581741615</c:v>
                </c:pt>
                <c:pt idx="91">
                  <c:v>556867.12219954573</c:v>
                </c:pt>
                <c:pt idx="92">
                  <c:v>596555.61391446611</c:v>
                </c:pt>
                <c:pt idx="93">
                  <c:v>638064.78935738932</c:v>
                </c:pt>
                <c:pt idx="94">
                  <c:v>681444.85269467474</c:v>
                </c:pt>
                <c:pt idx="95">
                  <c:v>726746.62386383221</c:v>
                </c:pt>
                <c:pt idx="96">
                  <c:v>774021.53857351956</c:v>
                </c:pt>
                <c:pt idx="97">
                  <c:v>823321.64830354485</c:v>
                </c:pt>
                <c:pt idx="98">
                  <c:v>874699.6203048653</c:v>
                </c:pt>
                <c:pt idx="99">
                  <c:v>928208.73759958602</c:v>
                </c:pt>
                <c:pt idx="100">
                  <c:v>983902.89898096363</c:v>
                </c:pt>
              </c:numCache>
            </c:numRef>
          </c:yVal>
          <c:smooth val="1"/>
          <c:extLst>
            <c:ext xmlns:c16="http://schemas.microsoft.com/office/drawing/2014/chart" uri="{C3380CC4-5D6E-409C-BE32-E72D297353CC}">
              <c16:uniqueId val="{00000000-3441-4827-8A72-8722632BA7D7}"/>
            </c:ext>
          </c:extLst>
        </c:ser>
        <c:ser>
          <c:idx val="1"/>
          <c:order val="1"/>
          <c:tx>
            <c:v>計算区間</c:v>
          </c:tx>
          <c:spPr>
            <a:ln w="19050" cap="rnd">
              <a:solidFill>
                <a:schemeClr val="accent2"/>
              </a:solidFill>
              <a:round/>
            </a:ln>
            <a:effectLst/>
          </c:spPr>
          <c:marker>
            <c:symbol val="none"/>
          </c:marker>
          <c:xVal>
            <c:numRef>
              <c:f>D_9!$AU$15:$AU$1015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D_9!$AT$15:$AT$1015</c:f>
              <c:numCache>
                <c:formatCode>General</c:formatCode>
                <c:ptCount val="1001"/>
                <c:pt idx="0">
                  <c:v>-20738.835427972183</c:v>
                </c:pt>
                <c:pt idx="1">
                  <c:v>-20889.451333966568</c:v>
                </c:pt>
                <c:pt idx="2">
                  <c:v>-21074.044851879917</c:v>
                </c:pt>
                <c:pt idx="3">
                  <c:v>-21291.47830144328</c:v>
                </c:pt>
                <c:pt idx="4">
                  <c:v>-21540.575516690878</c:v>
                </c:pt>
                <c:pt idx="5">
                  <c:v>-21820.121845960111</c:v>
                </c:pt>
                <c:pt idx="6">
                  <c:v>-22128.864151891557</c:v>
                </c:pt>
                <c:pt idx="7">
                  <c:v>-22465.510811428958</c:v>
                </c:pt>
                <c:pt idx="8">
                  <c:v>-22828.731715819249</c:v>
                </c:pt>
                <c:pt idx="9">
                  <c:v>-23217.15827061253</c:v>
                </c:pt>
                <c:pt idx="10">
                  <c:v>-23629.383395662073</c:v>
                </c:pt>
                <c:pt idx="11">
                  <c:v>-24063.961525124345</c:v>
                </c:pt>
                <c:pt idx="12">
                  <c:v>-24519.40860745895</c:v>
                </c:pt>
                <c:pt idx="13">
                  <c:v>-24994.202105428722</c:v>
                </c:pt>
                <c:pt idx="14">
                  <c:v>-25486.780996099613</c:v>
                </c:pt>
                <c:pt idx="15">
                  <c:v>-25995.545770840788</c:v>
                </c:pt>
                <c:pt idx="16">
                  <c:v>-26518.858435324579</c:v>
                </c:pt>
                <c:pt idx="17">
                  <c:v>-27055.042509526513</c:v>
                </c:pt>
                <c:pt idx="18">
                  <c:v>-27602.383027725231</c:v>
                </c:pt>
                <c:pt idx="19">
                  <c:v>-28159.126538502609</c:v>
                </c:pt>
                <c:pt idx="20">
                  <c:v>-28723.481104743692</c:v>
                </c:pt>
                <c:pt idx="21">
                  <c:v>-29293.616303636674</c:v>
                </c:pt>
                <c:pt idx="22">
                  <c:v>-29867.663226672939</c:v>
                </c:pt>
                <c:pt idx="23">
                  <c:v>-30443.714479647064</c:v>
                </c:pt>
                <c:pt idx="24">
                  <c:v>-31019.824182656765</c:v>
                </c:pt>
                <c:pt idx="25">
                  <c:v>-31594.007970102964</c:v>
                </c:pt>
                <c:pt idx="26">
                  <c:v>-32164.242990689734</c:v>
                </c:pt>
                <c:pt idx="27">
                  <c:v>-32728.467907424365</c:v>
                </c:pt>
                <c:pt idx="28">
                  <c:v>-33284.582897617249</c:v>
                </c:pt>
                <c:pt idx="29">
                  <c:v>-33830.44965288206</c:v>
                </c:pt>
                <c:pt idx="30">
                  <c:v>-34363.89137913553</c:v>
                </c:pt>
                <c:pt idx="31">
                  <c:v>-34882.69279659765</c:v>
                </c:pt>
                <c:pt idx="32">
                  <c:v>-35384.600139791539</c:v>
                </c:pt>
                <c:pt idx="33">
                  <c:v>-35867.321157543571</c:v>
                </c:pt>
                <c:pt idx="34">
                  <c:v>-36328.525112983174</c:v>
                </c:pt>
                <c:pt idx="35">
                  <c:v>-36765.842783543034</c:v>
                </c:pt>
                <c:pt idx="36">
                  <c:v>-37176.866460959005</c:v>
                </c:pt>
                <c:pt idx="37">
                  <c:v>-37559.149951270098</c:v>
                </c:pt>
                <c:pt idx="38">
                  <c:v>-37910.208574818505</c:v>
                </c:pt>
                <c:pt idx="39">
                  <c:v>-38227.519166249578</c:v>
                </c:pt>
                <c:pt idx="40">
                  <c:v>-38508.520074511893</c:v>
                </c:pt>
                <c:pt idx="41">
                  <c:v>-38750.611162857138</c:v>
                </c:pt>
                <c:pt idx="42">
                  <c:v>-38951.153808840245</c:v>
                </c:pt>
                <c:pt idx="43">
                  <c:v>-39107.470904319256</c:v>
                </c:pt>
                <c:pt idx="44">
                  <c:v>-39216.846855455442</c:v>
                </c:pt>
                <c:pt idx="45">
                  <c:v>-39276.527582713199</c:v>
                </c:pt>
                <c:pt idx="46">
                  <c:v>-39283.720520860166</c:v>
                </c:pt>
                <c:pt idx="47">
                  <c:v>-39235.594618967065</c:v>
                </c:pt>
                <c:pt idx="48">
                  <c:v>-39129.280340407888</c:v>
                </c:pt>
                <c:pt idx="49">
                  <c:v>-38961.86966285971</c:v>
                </c:pt>
                <c:pt idx="50">
                  <c:v>-38730.416078302893</c:v>
                </c:pt>
                <c:pt idx="51">
                  <c:v>-38431.934593020866</c:v>
                </c:pt>
                <c:pt idx="52">
                  <c:v>-38063.4017276003</c:v>
                </c:pt>
                <c:pt idx="53">
                  <c:v>-37621.755516931022</c:v>
                </c:pt>
                <c:pt idx="54">
                  <c:v>-37103.895510206014</c:v>
                </c:pt>
                <c:pt idx="55">
                  <c:v>-36506.682770921485</c:v>
                </c:pt>
                <c:pt idx="56">
                  <c:v>-35826.939876876786</c:v>
                </c:pt>
                <c:pt idx="57">
                  <c:v>-35061.450920174422</c:v>
                </c:pt>
                <c:pt idx="58">
                  <c:v>-34206.961507220127</c:v>
                </c:pt>
                <c:pt idx="59">
                  <c:v>-33260.178758722803</c:v>
                </c:pt>
                <c:pt idx="60">
                  <c:v>-32217.771309694454</c:v>
                </c:pt>
                <c:pt idx="61">
                  <c:v>-31076.369309450271</c:v>
                </c:pt>
                <c:pt idx="62">
                  <c:v>-29832.564421608771</c:v>
                </c:pt>
                <c:pt idx="63">
                  <c:v>-28482.909824091479</c:v>
                </c:pt>
                <c:pt idx="64">
                  <c:v>-27023.920209123116</c:v>
                </c:pt>
                <c:pt idx="65">
                  <c:v>-25452.071783231691</c:v>
                </c:pt>
                <c:pt idx="66">
                  <c:v>-23763.802267248295</c:v>
                </c:pt>
                <c:pt idx="67">
                  <c:v>-21955.510896307202</c:v>
                </c:pt>
                <c:pt idx="68">
                  <c:v>-20023.558419845856</c:v>
                </c:pt>
                <c:pt idx="69">
                  <c:v>-17964.267101604917</c:v>
                </c:pt>
                <c:pt idx="70">
                  <c:v>-15773.920719628182</c:v>
                </c:pt>
                <c:pt idx="71">
                  <c:v>-13448.764566262664</c:v>
                </c:pt>
                <c:pt idx="72">
                  <c:v>-10985.00544815847</c:v>
                </c:pt>
                <c:pt idx="73">
                  <c:v>-8378.8116862690113</c:v>
                </c:pt>
                <c:pt idx="74">
                  <c:v>-5626.3131158507786</c:v>
                </c:pt>
                <c:pt idx="75">
                  <c:v>-2723.6010864634191</c:v>
                </c:pt>
                <c:pt idx="76">
                  <c:v>333.2715380301488</c:v>
                </c:pt>
                <c:pt idx="77">
                  <c:v>3548.2903794639533</c:v>
                </c:pt>
                <c:pt idx="78">
                  <c:v>6925.4795453686493</c:v>
                </c:pt>
                <c:pt idx="79">
                  <c:v>10468.901628971955</c:v>
                </c:pt>
                <c:pt idx="80">
                  <c:v>14182.657709198302</c:v>
                </c:pt>
                <c:pt idx="81">
                  <c:v>18070.887350668851</c:v>
                </c:pt>
                <c:pt idx="82">
                  <c:v>22137.768603701883</c:v>
                </c:pt>
                <c:pt idx="83">
                  <c:v>26387.51800431206</c:v>
                </c:pt>
                <c:pt idx="84">
                  <c:v>30824.390574211222</c:v>
                </c:pt>
                <c:pt idx="85">
                  <c:v>35452.679820807942</c:v>
                </c:pt>
                <c:pt idx="86">
                  <c:v>40276.717737207684</c:v>
                </c:pt>
                <c:pt idx="87">
                  <c:v>45300.874802212304</c:v>
                </c:pt>
                <c:pt idx="88">
                  <c:v>50529.559980321268</c:v>
                </c:pt>
                <c:pt idx="89">
                  <c:v>55967.220721730264</c:v>
                </c:pt>
                <c:pt idx="90">
                  <c:v>61618.342962331706</c:v>
                </c:pt>
                <c:pt idx="91">
                  <c:v>67487.451123715538</c:v>
                </c:pt>
                <c:pt idx="92">
                  <c:v>73579.108113167778</c:v>
                </c:pt>
                <c:pt idx="93">
                  <c:v>79897.915323671739</c:v>
                </c:pt>
                <c:pt idx="94">
                  <c:v>86448.512633907274</c:v>
                </c:pt>
                <c:pt idx="95">
                  <c:v>93235.57840825124</c:v>
                </c:pt>
                <c:pt idx="96">
                  <c:v>100263.82949677733</c:v>
                </c:pt>
                <c:pt idx="97">
                  <c:v>107538.02123525574</c:v>
                </c:pt>
                <c:pt idx="98">
                  <c:v>115062.94744515403</c:v>
                </c:pt>
                <c:pt idx="99">
                  <c:v>122843.44043363609</c:v>
                </c:pt>
                <c:pt idx="100">
                  <c:v>130884.37099356311</c:v>
                </c:pt>
              </c:numCache>
            </c:numRef>
          </c:yVal>
          <c:smooth val="1"/>
          <c:extLst>
            <c:ext xmlns:c16="http://schemas.microsoft.com/office/drawing/2014/chart" uri="{C3380CC4-5D6E-409C-BE32-E72D297353CC}">
              <c16:uniqueId val="{00000001-3441-4827-8A72-8722632BA7D7}"/>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tx>
            <c:v>計算区間</c:v>
          </c:tx>
          <c:spPr>
            <a:ln w="19050" cap="rnd">
              <a:solidFill>
                <a:schemeClr val="accent2"/>
              </a:solidFill>
              <a:round/>
            </a:ln>
            <a:effectLst/>
          </c:spPr>
          <c:marker>
            <c:symbol val="none"/>
          </c:marker>
          <c:xVal>
            <c:numRef>
              <c:f>D_10!$AU$15:$AU$1015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D_10!$AT$15:$AT$1015</c:f>
              <c:numCache>
                <c:formatCode>General</c:formatCode>
                <c:ptCount val="1001"/>
                <c:pt idx="0">
                  <c:v>-30172.470935248817</c:v>
                </c:pt>
                <c:pt idx="1">
                  <c:v>-30163.750323851473</c:v>
                </c:pt>
                <c:pt idx="2">
                  <c:v>-30196.886618076318</c:v>
                </c:pt>
                <c:pt idx="3">
                  <c:v>-30270.729047731824</c:v>
                </c:pt>
                <c:pt idx="4">
                  <c:v>-30384.088356929642</c:v>
                </c:pt>
                <c:pt idx="5">
                  <c:v>-30535.73680408462</c:v>
                </c:pt>
                <c:pt idx="6">
                  <c:v>-30724.408161914758</c:v>
                </c:pt>
                <c:pt idx="7">
                  <c:v>-30948.79771744123</c:v>
                </c:pt>
                <c:pt idx="8">
                  <c:v>-31207.562271988409</c:v>
                </c:pt>
                <c:pt idx="9">
                  <c:v>-31499.320141183824</c:v>
                </c:pt>
                <c:pt idx="10">
                  <c:v>-31822.651154958181</c:v>
                </c:pt>
                <c:pt idx="11">
                  <c:v>-32176.096657545364</c:v>
                </c:pt>
                <c:pt idx="12">
                  <c:v>-32558.159507482451</c:v>
                </c:pt>
                <c:pt idx="13">
                  <c:v>-32967.304077609668</c:v>
                </c:pt>
                <c:pt idx="14">
                  <c:v>-33401.956255070414</c:v>
                </c:pt>
                <c:pt idx="15">
                  <c:v>-33860.503441311303</c:v>
                </c:pt>
                <c:pt idx="16">
                  <c:v>-34341.294552082079</c:v>
                </c:pt>
                <c:pt idx="17">
                  <c:v>-34842.640017435682</c:v>
                </c:pt>
                <c:pt idx="18">
                  <c:v>-35362.81178172824</c:v>
                </c:pt>
                <c:pt idx="19">
                  <c:v>-35900.04330361903</c:v>
                </c:pt>
                <c:pt idx="20">
                  <c:v>-36452.529556070534</c:v>
                </c:pt>
                <c:pt idx="21">
                  <c:v>-37018.42702634837</c:v>
                </c:pt>
                <c:pt idx="22">
                  <c:v>-37595.853716021375</c:v>
                </c:pt>
                <c:pt idx="23">
                  <c:v>-38182.889140961517</c:v>
                </c:pt>
                <c:pt idx="24">
                  <c:v>-38777.574331343996</c:v>
                </c:pt>
                <c:pt idx="25">
                  <c:v>-39377.91183164715</c:v>
                </c:pt>
                <c:pt idx="26">
                  <c:v>-39981.865700652481</c:v>
                </c:pt>
                <c:pt idx="27">
                  <c:v>-40587.36151144468</c:v>
                </c:pt>
                <c:pt idx="28">
                  <c:v>-41192.28635141164</c:v>
                </c:pt>
                <c:pt idx="29">
                  <c:v>-41794.488822244406</c:v>
                </c:pt>
                <c:pt idx="30">
                  <c:v>-42391.779039937181</c:v>
                </c:pt>
                <c:pt idx="31">
                  <c:v>-42981.928634787364</c:v>
                </c:pt>
                <c:pt idx="32">
                  <c:v>-43562.670751395541</c:v>
                </c:pt>
                <c:pt idx="33">
                  <c:v>-44131.700048665451</c:v>
                </c:pt>
                <c:pt idx="34">
                  <c:v>-44686.672699804047</c:v>
                </c:pt>
                <c:pt idx="35">
                  <c:v>-45225.206392321365</c:v>
                </c:pt>
                <c:pt idx="36">
                  <c:v>-45744.88032803074</c:v>
                </c:pt>
                <c:pt idx="37">
                  <c:v>-46243.235223048607</c:v>
                </c:pt>
                <c:pt idx="38">
                  <c:v>-46717.773307794581</c:v>
                </c:pt>
                <c:pt idx="39">
                  <c:v>-47165.958326991451</c:v>
                </c:pt>
                <c:pt idx="40">
                  <c:v>-47585.215539665231</c:v>
                </c:pt>
                <c:pt idx="41">
                  <c:v>-47972.931719145061</c:v>
                </c:pt>
                <c:pt idx="42">
                  <c:v>-48326.455153063253</c:v>
                </c:pt>
                <c:pt idx="43">
                  <c:v>-48643.095643355329</c:v>
                </c:pt>
                <c:pt idx="44">
                  <c:v>-48920.124506259956</c:v>
                </c:pt>
                <c:pt idx="45">
                  <c:v>-49154.77457231898</c:v>
                </c:pt>
                <c:pt idx="46">
                  <c:v>-49344.240186377479</c:v>
                </c:pt>
                <c:pt idx="47">
                  <c:v>-49485.677207583612</c:v>
                </c:pt>
                <c:pt idx="48">
                  <c:v>-49576.203009388781</c:v>
                </c:pt>
                <c:pt idx="49">
                  <c:v>-49612.896479547555</c:v>
                </c:pt>
                <c:pt idx="50">
                  <c:v>-49592.798020117618</c:v>
                </c:pt>
                <c:pt idx="51">
                  <c:v>-49512.909547459938</c:v>
                </c:pt>
                <c:pt idx="52">
                  <c:v>-49370.194492238566</c:v>
                </c:pt>
                <c:pt idx="53">
                  <c:v>-49161.577799420767</c:v>
                </c:pt>
                <c:pt idx="54">
                  <c:v>-48883.945928276989</c:v>
                </c:pt>
                <c:pt idx="55">
                  <c:v>-48534.146852380836</c:v>
                </c:pt>
                <c:pt idx="56">
                  <c:v>-48108.990059609096</c:v>
                </c:pt>
                <c:pt idx="57">
                  <c:v>-47605.246552141711</c:v>
                </c:pt>
                <c:pt idx="58">
                  <c:v>-47019.648846461838</c:v>
                </c:pt>
                <c:pt idx="59">
                  <c:v>-46348.890973355803</c:v>
                </c:pt>
                <c:pt idx="60">
                  <c:v>-45589.628477913073</c:v>
                </c:pt>
                <c:pt idx="61">
                  <c:v>-44738.478419526313</c:v>
                </c:pt>
                <c:pt idx="62">
                  <c:v>-43792.019371891387</c:v>
                </c:pt>
                <c:pt idx="63">
                  <c:v>-42746.7914230073</c:v>
                </c:pt>
                <c:pt idx="64">
                  <c:v>-41599.296175176183</c:v>
                </c:pt>
                <c:pt idx="65">
                  <c:v>-40345.996745003496</c:v>
                </c:pt>
                <c:pt idx="66">
                  <c:v>-38983.317763397783</c:v>
                </c:pt>
                <c:pt idx="67">
                  <c:v>-37507.645375570668</c:v>
                </c:pt>
                <c:pt idx="68">
                  <c:v>-35915.327241037092</c:v>
                </c:pt>
                <c:pt idx="69">
                  <c:v>-34202.672533615165</c:v>
                </c:pt>
                <c:pt idx="70">
                  <c:v>-32365.95194142605</c:v>
                </c:pt>
                <c:pt idx="71">
                  <c:v>-30401.397666894271</c:v>
                </c:pt>
                <c:pt idx="72">
                  <c:v>-28305.203426747357</c:v>
                </c:pt>
                <c:pt idx="73">
                  <c:v>-26073.524452016056</c:v>
                </c:pt>
                <c:pt idx="74">
                  <c:v>-23702.477488034383</c:v>
                </c:pt>
                <c:pt idx="75">
                  <c:v>-21188.140794439423</c:v>
                </c:pt>
                <c:pt idx="76">
                  <c:v>-18526.554145171518</c:v>
                </c:pt>
                <c:pt idx="77">
                  <c:v>-15713.718828474004</c:v>
                </c:pt>
                <c:pt idx="78">
                  <c:v>-12745.597646893708</c:v>
                </c:pt>
                <c:pt idx="79">
                  <c:v>-9618.1149172803343</c:v>
                </c:pt>
                <c:pt idx="80">
                  <c:v>-6327.156470786962</c:v>
                </c:pt>
                <c:pt idx="81">
                  <c:v>-2868.5696528697517</c:v>
                </c:pt>
                <c:pt idx="82">
                  <c:v>761.83667671208241</c:v>
                </c:pt>
                <c:pt idx="83">
                  <c:v>4568.2921438957492</c:v>
                </c:pt>
                <c:pt idx="84">
                  <c:v>8555.0648603157824</c:v>
                </c:pt>
                <c:pt idx="85">
                  <c:v>12726.461423303197</c:v>
                </c:pt>
                <c:pt idx="86">
                  <c:v>17086.826915885984</c:v>
                </c:pt>
                <c:pt idx="87">
                  <c:v>21640.544906788818</c:v>
                </c:pt>
                <c:pt idx="88">
                  <c:v>26392.037450433352</c:v>
                </c:pt>
                <c:pt idx="89">
                  <c:v>31345.765086938154</c:v>
                </c:pt>
                <c:pt idx="90">
                  <c:v>36506.2268421181</c:v>
                </c:pt>
                <c:pt idx="91">
                  <c:v>41877.960227485768</c:v>
                </c:pt>
                <c:pt idx="92">
                  <c:v>47465.54124024952</c:v>
                </c:pt>
                <c:pt idx="93">
                  <c:v>53273.584363315509</c:v>
                </c:pt>
                <c:pt idx="94">
                  <c:v>59306.742565285989</c:v>
                </c:pt>
                <c:pt idx="95">
                  <c:v>65569.707300460432</c:v>
                </c:pt>
                <c:pt idx="96">
                  <c:v>72067.208508835029</c:v>
                </c:pt>
                <c:pt idx="97">
                  <c:v>78804.014616102737</c:v>
                </c:pt>
                <c:pt idx="98">
                  <c:v>85784.932533653511</c:v>
                </c:pt>
                <c:pt idx="99">
                  <c:v>93014.807658573845</c:v>
                </c:pt>
                <c:pt idx="100">
                  <c:v>100498.52387364744</c:v>
                </c:pt>
              </c:numCache>
            </c:numRef>
          </c:yVal>
          <c:smooth val="1"/>
          <c:extLst>
            <c:ext xmlns:c16="http://schemas.microsoft.com/office/drawing/2014/chart" uri="{C3380CC4-5D6E-409C-BE32-E72D297353CC}">
              <c16:uniqueId val="{00000000-B189-441F-8605-9F446E50633F}"/>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外挿区間</c:v>
          </c:tx>
          <c:spPr>
            <a:ln w="12700" cap="rnd">
              <a:solidFill>
                <a:schemeClr val="accent1"/>
              </a:solidFill>
              <a:prstDash val="sysDash"/>
              <a:round/>
            </a:ln>
            <a:effectLst/>
          </c:spPr>
          <c:marker>
            <c:symbol val="none"/>
          </c:marker>
          <c:xVal>
            <c:numRef>
              <c:f>D_10!$AR$15:$AR$1015</c:f>
              <c:numCache>
                <c:formatCode>General</c:formatCode>
                <c:ptCount val="1001"/>
                <c:pt idx="0">
                  <c:v>-6</c:v>
                </c:pt>
                <c:pt idx="1">
                  <c:v>-5.52</c:v>
                </c:pt>
                <c:pt idx="2">
                  <c:v>-5.04</c:v>
                </c:pt>
                <c:pt idx="3">
                  <c:v>-4.5600000000000005</c:v>
                </c:pt>
                <c:pt idx="4">
                  <c:v>-4.08</c:v>
                </c:pt>
                <c:pt idx="5">
                  <c:v>-3.5999999999999996</c:v>
                </c:pt>
                <c:pt idx="6">
                  <c:v>-3.120000000000001</c:v>
                </c:pt>
                <c:pt idx="7">
                  <c:v>-2.6400000000000006</c:v>
                </c:pt>
                <c:pt idx="8">
                  <c:v>-2.16</c:v>
                </c:pt>
                <c:pt idx="9">
                  <c:v>-1.6799999999999997</c:v>
                </c:pt>
                <c:pt idx="10">
                  <c:v>-1.1999999999999993</c:v>
                </c:pt>
                <c:pt idx="11">
                  <c:v>-0.72000000000000064</c:v>
                </c:pt>
                <c:pt idx="12">
                  <c:v>-0.24000000000000021</c:v>
                </c:pt>
                <c:pt idx="13">
                  <c:v>0.24000000000000021</c:v>
                </c:pt>
                <c:pt idx="14">
                  <c:v>0.71999999999999886</c:v>
                </c:pt>
                <c:pt idx="15">
                  <c:v>1.1999999999999993</c:v>
                </c:pt>
                <c:pt idx="16">
                  <c:v>1.6799999999999997</c:v>
                </c:pt>
                <c:pt idx="17">
                  <c:v>2.16</c:v>
                </c:pt>
                <c:pt idx="18">
                  <c:v>2.6400000000000006</c:v>
                </c:pt>
                <c:pt idx="19">
                  <c:v>3.1199999999999992</c:v>
                </c:pt>
                <c:pt idx="20">
                  <c:v>3.5999999999999996</c:v>
                </c:pt>
                <c:pt idx="21">
                  <c:v>4.0799999999999983</c:v>
                </c:pt>
                <c:pt idx="22">
                  <c:v>4.5599999999999987</c:v>
                </c:pt>
                <c:pt idx="23">
                  <c:v>5.0399999999999991</c:v>
                </c:pt>
                <c:pt idx="24">
                  <c:v>5.52</c:v>
                </c:pt>
                <c:pt idx="25">
                  <c:v>6</c:v>
                </c:pt>
                <c:pt idx="26">
                  <c:v>6.48</c:v>
                </c:pt>
                <c:pt idx="27">
                  <c:v>6.9600000000000009</c:v>
                </c:pt>
                <c:pt idx="28">
                  <c:v>7.4399999999999977</c:v>
                </c:pt>
                <c:pt idx="29">
                  <c:v>7.9200000000000017</c:v>
                </c:pt>
                <c:pt idx="30">
                  <c:v>8.3999999999999986</c:v>
                </c:pt>
                <c:pt idx="31">
                  <c:v>8.879999999999999</c:v>
                </c:pt>
                <c:pt idx="32">
                  <c:v>9.36</c:v>
                </c:pt>
                <c:pt idx="33">
                  <c:v>9.84</c:v>
                </c:pt>
                <c:pt idx="34">
                  <c:v>10.32</c:v>
                </c:pt>
                <c:pt idx="35">
                  <c:v>10.8</c:v>
                </c:pt>
                <c:pt idx="36">
                  <c:v>11.280000000000001</c:v>
                </c:pt>
                <c:pt idx="37">
                  <c:v>11.759999999999998</c:v>
                </c:pt>
                <c:pt idx="38">
                  <c:v>12.239999999999998</c:v>
                </c:pt>
                <c:pt idx="39">
                  <c:v>12.719999999999999</c:v>
                </c:pt>
                <c:pt idx="40">
                  <c:v>13.2</c:v>
                </c:pt>
                <c:pt idx="41">
                  <c:v>13.68</c:v>
                </c:pt>
                <c:pt idx="42">
                  <c:v>14.16</c:v>
                </c:pt>
                <c:pt idx="43">
                  <c:v>14.64</c:v>
                </c:pt>
                <c:pt idx="44">
                  <c:v>15.119999999999997</c:v>
                </c:pt>
                <c:pt idx="45">
                  <c:v>15.599999999999998</c:v>
                </c:pt>
                <c:pt idx="46">
                  <c:v>16.079999999999998</c:v>
                </c:pt>
                <c:pt idx="47">
                  <c:v>16.559999999999999</c:v>
                </c:pt>
                <c:pt idx="48">
                  <c:v>17.04</c:v>
                </c:pt>
                <c:pt idx="49">
                  <c:v>17.52</c:v>
                </c:pt>
                <c:pt idx="50">
                  <c:v>18</c:v>
                </c:pt>
                <c:pt idx="51">
                  <c:v>18.48</c:v>
                </c:pt>
                <c:pt idx="52">
                  <c:v>18.96</c:v>
                </c:pt>
                <c:pt idx="53">
                  <c:v>19.439999999999998</c:v>
                </c:pt>
                <c:pt idx="54">
                  <c:v>19.919999999999998</c:v>
                </c:pt>
                <c:pt idx="55">
                  <c:v>20.399999999999999</c:v>
                </c:pt>
                <c:pt idx="56">
                  <c:v>20.879999999999995</c:v>
                </c:pt>
                <c:pt idx="57">
                  <c:v>21.36</c:v>
                </c:pt>
                <c:pt idx="58">
                  <c:v>21.840000000000003</c:v>
                </c:pt>
                <c:pt idx="59">
                  <c:v>22.32</c:v>
                </c:pt>
                <c:pt idx="60">
                  <c:v>22.799999999999997</c:v>
                </c:pt>
                <c:pt idx="61">
                  <c:v>23.28</c:v>
                </c:pt>
                <c:pt idx="62">
                  <c:v>23.759999999999998</c:v>
                </c:pt>
                <c:pt idx="63">
                  <c:v>24.239999999999995</c:v>
                </c:pt>
                <c:pt idx="64">
                  <c:v>24.72</c:v>
                </c:pt>
                <c:pt idx="65">
                  <c:v>25.200000000000003</c:v>
                </c:pt>
                <c:pt idx="66">
                  <c:v>25.68</c:v>
                </c:pt>
                <c:pt idx="67">
                  <c:v>26.159999999999997</c:v>
                </c:pt>
                <c:pt idx="68">
                  <c:v>26.64</c:v>
                </c:pt>
                <c:pt idx="69">
                  <c:v>27.119999999999997</c:v>
                </c:pt>
                <c:pt idx="70">
                  <c:v>27.6</c:v>
                </c:pt>
                <c:pt idx="71">
                  <c:v>28.08</c:v>
                </c:pt>
                <c:pt idx="72">
                  <c:v>28.560000000000002</c:v>
                </c:pt>
                <c:pt idx="73">
                  <c:v>29.04</c:v>
                </c:pt>
                <c:pt idx="74">
                  <c:v>29.519999999999996</c:v>
                </c:pt>
                <c:pt idx="75">
                  <c:v>30</c:v>
                </c:pt>
                <c:pt idx="76">
                  <c:v>30.479999999999997</c:v>
                </c:pt>
                <c:pt idx="77">
                  <c:v>30.96</c:v>
                </c:pt>
                <c:pt idx="78">
                  <c:v>31.439999999999998</c:v>
                </c:pt>
                <c:pt idx="79">
                  <c:v>31.92</c:v>
                </c:pt>
                <c:pt idx="80">
                  <c:v>32.4</c:v>
                </c:pt>
                <c:pt idx="81">
                  <c:v>32.879999999999995</c:v>
                </c:pt>
                <c:pt idx="82">
                  <c:v>33.36</c:v>
                </c:pt>
                <c:pt idx="83">
                  <c:v>33.839999999999996</c:v>
                </c:pt>
                <c:pt idx="84">
                  <c:v>34.32</c:v>
                </c:pt>
                <c:pt idx="85">
                  <c:v>34.799999999999997</c:v>
                </c:pt>
                <c:pt idx="86">
                  <c:v>35.28</c:v>
                </c:pt>
                <c:pt idx="87">
                  <c:v>35.76</c:v>
                </c:pt>
                <c:pt idx="88">
                  <c:v>36.239999999999995</c:v>
                </c:pt>
                <c:pt idx="89">
                  <c:v>36.72</c:v>
                </c:pt>
                <c:pt idx="90">
                  <c:v>37.199999999999996</c:v>
                </c:pt>
                <c:pt idx="91">
                  <c:v>37.68</c:v>
                </c:pt>
                <c:pt idx="92">
                  <c:v>38.159999999999997</c:v>
                </c:pt>
                <c:pt idx="93">
                  <c:v>38.64</c:v>
                </c:pt>
                <c:pt idx="94">
                  <c:v>39.119999999999997</c:v>
                </c:pt>
                <c:pt idx="95">
                  <c:v>39.6</c:v>
                </c:pt>
                <c:pt idx="96">
                  <c:v>40.08</c:v>
                </c:pt>
                <c:pt idx="97">
                  <c:v>40.559999999999995</c:v>
                </c:pt>
                <c:pt idx="98">
                  <c:v>41.04</c:v>
                </c:pt>
                <c:pt idx="99">
                  <c:v>41.519999999999996</c:v>
                </c:pt>
                <c:pt idx="100">
                  <c:v>42</c:v>
                </c:pt>
              </c:numCache>
            </c:numRef>
          </c:xVal>
          <c:yVal>
            <c:numRef>
              <c:f>D_10!$AQ$15:$AQ$1015</c:f>
              <c:numCache>
                <c:formatCode>General</c:formatCode>
                <c:ptCount val="1001"/>
                <c:pt idx="0">
                  <c:v>-98138.503233356401</c:v>
                </c:pt>
                <c:pt idx="1">
                  <c:v>-92752.301411356457</c:v>
                </c:pt>
                <c:pt idx="2">
                  <c:v>-87570.459769246518</c:v>
                </c:pt>
                <c:pt idx="3">
                  <c:v>-82598.704595862248</c:v>
                </c:pt>
                <c:pt idx="4">
                  <c:v>-77842.146408890185</c:v>
                </c:pt>
                <c:pt idx="5">
                  <c:v>-73305.279954867699</c:v>
                </c:pt>
                <c:pt idx="6">
                  <c:v>-68991.984209182949</c:v>
                </c:pt>
                <c:pt idx="7">
                  <c:v>-64905.522376074849</c:v>
                </c:pt>
                <c:pt idx="8">
                  <c:v>-61048.541888633205</c:v>
                </c:pt>
                <c:pt idx="9">
                  <c:v>-57423.07440879858</c:v>
                </c:pt>
                <c:pt idx="10">
                  <c:v>-54030.535827362364</c:v>
                </c:pt>
                <c:pt idx="11">
                  <c:v>-50871.726263966775</c:v>
                </c:pt>
                <c:pt idx="12">
                  <c:v>-47946.830067104791</c:v>
                </c:pt>
                <c:pt idx="13">
                  <c:v>-45255.415814120235</c:v>
                </c:pt>
                <c:pt idx="14">
                  <c:v>-42796.436311207741</c:v>
                </c:pt>
                <c:pt idx="15">
                  <c:v>-40568.228593412736</c:v>
                </c:pt>
                <c:pt idx="16">
                  <c:v>-38568.513924631457</c:v>
                </c:pt>
                <c:pt idx="17">
                  <c:v>-36794.397797610975</c:v>
                </c:pt>
                <c:pt idx="18">
                  <c:v>-35242.369933949136</c:v>
                </c:pt>
                <c:pt idx="19">
                  <c:v>-33908.304284094622</c:v>
                </c:pt>
                <c:pt idx="20">
                  <c:v>-32787.459027346908</c:v>
                </c:pt>
                <c:pt idx="21">
                  <c:v>-31874.476571856281</c:v>
                </c:pt>
                <c:pt idx="22">
                  <c:v>-31163.383554623848</c:v>
                </c:pt>
                <c:pt idx="23">
                  <c:v>-30647.590841501507</c:v>
                </c:pt>
                <c:pt idx="24">
                  <c:v>-30319.893527191991</c:v>
                </c:pt>
                <c:pt idx="25">
                  <c:v>-30172.470935248817</c:v>
                </c:pt>
                <c:pt idx="26">
                  <c:v>-30196.886618076318</c:v>
                </c:pt>
                <c:pt idx="27">
                  <c:v>-30384.088356929649</c:v>
                </c:pt>
                <c:pt idx="28">
                  <c:v>-30724.408161914755</c:v>
                </c:pt>
                <c:pt idx="29">
                  <c:v>-31207.562271988412</c:v>
                </c:pt>
                <c:pt idx="30">
                  <c:v>-31822.651154958177</c:v>
                </c:pt>
                <c:pt idx="31">
                  <c:v>-32558.159507482451</c:v>
                </c:pt>
                <c:pt idx="32">
                  <c:v>-33401.956255070414</c:v>
                </c:pt>
                <c:pt idx="33">
                  <c:v>-34341.294552082079</c:v>
                </c:pt>
                <c:pt idx="34">
                  <c:v>-35362.81178172824</c:v>
                </c:pt>
                <c:pt idx="35">
                  <c:v>-36452.529556070534</c:v>
                </c:pt>
                <c:pt idx="36">
                  <c:v>-37595.853716021375</c:v>
                </c:pt>
                <c:pt idx="37">
                  <c:v>-38777.574331344003</c:v>
                </c:pt>
                <c:pt idx="38">
                  <c:v>-39981.865700652488</c:v>
                </c:pt>
                <c:pt idx="39">
                  <c:v>-41192.28635141164</c:v>
                </c:pt>
                <c:pt idx="40">
                  <c:v>-42391.779039937181</c:v>
                </c:pt>
                <c:pt idx="41">
                  <c:v>-43562.670751395541</c:v>
                </c:pt>
                <c:pt idx="42">
                  <c:v>-44686.672699804047</c:v>
                </c:pt>
                <c:pt idx="43">
                  <c:v>-45744.88032803074</c:v>
                </c:pt>
                <c:pt idx="44">
                  <c:v>-46717.773307794581</c:v>
                </c:pt>
                <c:pt idx="45">
                  <c:v>-47585.215539665231</c:v>
                </c:pt>
                <c:pt idx="46">
                  <c:v>-48326.455153063253</c:v>
                </c:pt>
                <c:pt idx="47">
                  <c:v>-48920.124506259956</c:v>
                </c:pt>
                <c:pt idx="48">
                  <c:v>-49344.240186377479</c:v>
                </c:pt>
                <c:pt idx="49">
                  <c:v>-49576.203009388781</c:v>
                </c:pt>
                <c:pt idx="50">
                  <c:v>-49592.798020117618</c:v>
                </c:pt>
                <c:pt idx="51">
                  <c:v>-49370.194492238566</c:v>
                </c:pt>
                <c:pt idx="52">
                  <c:v>-48883.945928276989</c:v>
                </c:pt>
                <c:pt idx="53">
                  <c:v>-48108.990059609096</c:v>
                </c:pt>
                <c:pt idx="54">
                  <c:v>-47019.648846461867</c:v>
                </c:pt>
                <c:pt idx="55">
                  <c:v>-45589.628477913073</c:v>
                </c:pt>
                <c:pt idx="56">
                  <c:v>-43792.019371891402</c:v>
                </c:pt>
                <c:pt idx="57">
                  <c:v>-41599.296175176183</c:v>
                </c:pt>
                <c:pt idx="58">
                  <c:v>-38983.31776339771</c:v>
                </c:pt>
                <c:pt idx="59">
                  <c:v>-35915.327241037092</c:v>
                </c:pt>
                <c:pt idx="60">
                  <c:v>-32365.951941426079</c:v>
                </c:pt>
                <c:pt idx="61">
                  <c:v>-28305.203426747357</c:v>
                </c:pt>
                <c:pt idx="62">
                  <c:v>-23702.477488034383</c:v>
                </c:pt>
                <c:pt idx="63">
                  <c:v>-18526.554145171518</c:v>
                </c:pt>
                <c:pt idx="64">
                  <c:v>-12745.597646893708</c:v>
                </c:pt>
                <c:pt idx="65">
                  <c:v>-6327.1564707869038</c:v>
                </c:pt>
                <c:pt idx="66">
                  <c:v>761.83667671208241</c:v>
                </c:pt>
                <c:pt idx="67">
                  <c:v>8555.0648603157533</c:v>
                </c:pt>
                <c:pt idx="68">
                  <c:v>17086.826915885984</c:v>
                </c:pt>
                <c:pt idx="69">
                  <c:v>26392.037450433352</c:v>
                </c:pt>
                <c:pt idx="70">
                  <c:v>36506.226842118245</c:v>
                </c:pt>
                <c:pt idx="71">
                  <c:v>47465.54124024952</c:v>
                </c:pt>
                <c:pt idx="72">
                  <c:v>59306.742565286018</c:v>
                </c:pt>
                <c:pt idx="73">
                  <c:v>72067.208508835029</c:v>
                </c:pt>
                <c:pt idx="74">
                  <c:v>85784.932533653366</c:v>
                </c:pt>
                <c:pt idx="75">
                  <c:v>100498.52387364744</c:v>
                </c:pt>
                <c:pt idx="76">
                  <c:v>116247.20753387199</c:v>
                </c:pt>
                <c:pt idx="77">
                  <c:v>133070.82429053177</c:v>
                </c:pt>
                <c:pt idx="78">
                  <c:v>151009.83069098004</c:v>
                </c:pt>
                <c:pt idx="79">
                  <c:v>170105.29905372011</c:v>
                </c:pt>
                <c:pt idx="80">
                  <c:v>190398.91746840309</c:v>
                </c:pt>
                <c:pt idx="81">
                  <c:v>211932.98979583045</c:v>
                </c:pt>
                <c:pt idx="82">
                  <c:v>234750.43566795322</c:v>
                </c:pt>
                <c:pt idx="83">
                  <c:v>258894.79048787028</c:v>
                </c:pt>
                <c:pt idx="84">
                  <c:v>284410.20542983053</c:v>
                </c:pt>
                <c:pt idx="85">
                  <c:v>311341.44743923139</c:v>
                </c:pt>
                <c:pt idx="86">
                  <c:v>339733.8992326209</c:v>
                </c:pt>
                <c:pt idx="87">
                  <c:v>369633.55929769459</c:v>
                </c:pt>
                <c:pt idx="88">
                  <c:v>401087.04189329821</c:v>
                </c:pt>
                <c:pt idx="89">
                  <c:v>434141.57704942679</c:v>
                </c:pt>
                <c:pt idx="90">
                  <c:v>468845.01056722348</c:v>
                </c:pt>
                <c:pt idx="91">
                  <c:v>505245.80401898216</c:v>
                </c:pt>
                <c:pt idx="92">
                  <c:v>543393.0347481441</c:v>
                </c:pt>
                <c:pt idx="93">
                  <c:v>583336.39586930175</c:v>
                </c:pt>
                <c:pt idx="94">
                  <c:v>625126.19626819494</c:v>
                </c:pt>
                <c:pt idx="95">
                  <c:v>668813.36060171446</c:v>
                </c:pt>
                <c:pt idx="96">
                  <c:v>714449.42929789773</c:v>
                </c:pt>
                <c:pt idx="97">
                  <c:v>762086.55855593458</c:v>
                </c:pt>
                <c:pt idx="98">
                  <c:v>811777.52034616179</c:v>
                </c:pt>
                <c:pt idx="99">
                  <c:v>863575.70241006557</c:v>
                </c:pt>
                <c:pt idx="100">
                  <c:v>917535.10826028266</c:v>
                </c:pt>
              </c:numCache>
            </c:numRef>
          </c:yVal>
          <c:smooth val="1"/>
          <c:extLst>
            <c:ext xmlns:c16="http://schemas.microsoft.com/office/drawing/2014/chart" uri="{C3380CC4-5D6E-409C-BE32-E72D297353CC}">
              <c16:uniqueId val="{00000000-D1E4-4D64-87A4-13C223D30CD1}"/>
            </c:ext>
          </c:extLst>
        </c:ser>
        <c:ser>
          <c:idx val="1"/>
          <c:order val="1"/>
          <c:tx>
            <c:v>計算区間</c:v>
          </c:tx>
          <c:spPr>
            <a:ln w="19050" cap="rnd">
              <a:solidFill>
                <a:schemeClr val="accent2"/>
              </a:solidFill>
              <a:round/>
            </a:ln>
            <a:effectLst/>
          </c:spPr>
          <c:marker>
            <c:symbol val="none"/>
          </c:marker>
          <c:xVal>
            <c:numRef>
              <c:f>D_10!$AU$15:$AU$1015</c:f>
              <c:numCache>
                <c:formatCode>General</c:formatCode>
                <c:ptCount val="1001"/>
                <c:pt idx="0">
                  <c:v>6</c:v>
                </c:pt>
                <c:pt idx="1">
                  <c:v>6.24</c:v>
                </c:pt>
                <c:pt idx="2">
                  <c:v>6.48</c:v>
                </c:pt>
                <c:pt idx="3">
                  <c:v>6.72</c:v>
                </c:pt>
                <c:pt idx="4">
                  <c:v>6.96</c:v>
                </c:pt>
                <c:pt idx="5">
                  <c:v>7.2</c:v>
                </c:pt>
                <c:pt idx="6">
                  <c:v>7.4399999999999995</c:v>
                </c:pt>
                <c:pt idx="7">
                  <c:v>7.68</c:v>
                </c:pt>
                <c:pt idx="8">
                  <c:v>7.92</c:v>
                </c:pt>
                <c:pt idx="9">
                  <c:v>8.16</c:v>
                </c:pt>
                <c:pt idx="10">
                  <c:v>8.4</c:v>
                </c:pt>
                <c:pt idx="11">
                  <c:v>8.64</c:v>
                </c:pt>
                <c:pt idx="12">
                  <c:v>8.879999999999999</c:v>
                </c:pt>
                <c:pt idx="13">
                  <c:v>9.120000000000001</c:v>
                </c:pt>
                <c:pt idx="14">
                  <c:v>9.36</c:v>
                </c:pt>
                <c:pt idx="15">
                  <c:v>9.6</c:v>
                </c:pt>
                <c:pt idx="16">
                  <c:v>9.84</c:v>
                </c:pt>
                <c:pt idx="17">
                  <c:v>10.08</c:v>
                </c:pt>
                <c:pt idx="18">
                  <c:v>10.32</c:v>
                </c:pt>
                <c:pt idx="19">
                  <c:v>10.559999999999999</c:v>
                </c:pt>
                <c:pt idx="20">
                  <c:v>10.8</c:v>
                </c:pt>
                <c:pt idx="21">
                  <c:v>11.04</c:v>
                </c:pt>
                <c:pt idx="22">
                  <c:v>11.28</c:v>
                </c:pt>
                <c:pt idx="23">
                  <c:v>11.52</c:v>
                </c:pt>
                <c:pt idx="24">
                  <c:v>11.76</c:v>
                </c:pt>
                <c:pt idx="25">
                  <c:v>12</c:v>
                </c:pt>
                <c:pt idx="26">
                  <c:v>12.24</c:v>
                </c:pt>
                <c:pt idx="27">
                  <c:v>12.48</c:v>
                </c:pt>
                <c:pt idx="28">
                  <c:v>12.719999999999999</c:v>
                </c:pt>
                <c:pt idx="29">
                  <c:v>12.96</c:v>
                </c:pt>
                <c:pt idx="30">
                  <c:v>13.2</c:v>
                </c:pt>
                <c:pt idx="31">
                  <c:v>13.44</c:v>
                </c:pt>
                <c:pt idx="32">
                  <c:v>13.68</c:v>
                </c:pt>
                <c:pt idx="33">
                  <c:v>13.92</c:v>
                </c:pt>
                <c:pt idx="34">
                  <c:v>14.16</c:v>
                </c:pt>
                <c:pt idx="35">
                  <c:v>14.4</c:v>
                </c:pt>
                <c:pt idx="36">
                  <c:v>14.64</c:v>
                </c:pt>
                <c:pt idx="37">
                  <c:v>14.879999999999999</c:v>
                </c:pt>
                <c:pt idx="38">
                  <c:v>15.12</c:v>
                </c:pt>
                <c:pt idx="39">
                  <c:v>15.36</c:v>
                </c:pt>
                <c:pt idx="40">
                  <c:v>15.6</c:v>
                </c:pt>
                <c:pt idx="41">
                  <c:v>15.84</c:v>
                </c:pt>
                <c:pt idx="42">
                  <c:v>16.079999999999998</c:v>
                </c:pt>
                <c:pt idx="43">
                  <c:v>16.32</c:v>
                </c:pt>
                <c:pt idx="44">
                  <c:v>16.559999999999999</c:v>
                </c:pt>
                <c:pt idx="45">
                  <c:v>16.799999999999997</c:v>
                </c:pt>
                <c:pt idx="46">
                  <c:v>17.04</c:v>
                </c:pt>
                <c:pt idx="47">
                  <c:v>17.28</c:v>
                </c:pt>
                <c:pt idx="48">
                  <c:v>17.52</c:v>
                </c:pt>
                <c:pt idx="49">
                  <c:v>17.759999999999998</c:v>
                </c:pt>
                <c:pt idx="50">
                  <c:v>18</c:v>
                </c:pt>
                <c:pt idx="51">
                  <c:v>18.240000000000002</c:v>
                </c:pt>
                <c:pt idx="52">
                  <c:v>18.48</c:v>
                </c:pt>
                <c:pt idx="53">
                  <c:v>18.72</c:v>
                </c:pt>
                <c:pt idx="54">
                  <c:v>18.96</c:v>
                </c:pt>
                <c:pt idx="55">
                  <c:v>19.2</c:v>
                </c:pt>
                <c:pt idx="56">
                  <c:v>19.439999999999998</c:v>
                </c:pt>
                <c:pt idx="57">
                  <c:v>19.68</c:v>
                </c:pt>
                <c:pt idx="58">
                  <c:v>19.920000000000002</c:v>
                </c:pt>
                <c:pt idx="59">
                  <c:v>20.16</c:v>
                </c:pt>
                <c:pt idx="60">
                  <c:v>20.399999999999999</c:v>
                </c:pt>
                <c:pt idx="61">
                  <c:v>20.64</c:v>
                </c:pt>
                <c:pt idx="62">
                  <c:v>20.88</c:v>
                </c:pt>
                <c:pt idx="63">
                  <c:v>21.119999999999997</c:v>
                </c:pt>
                <c:pt idx="64">
                  <c:v>21.36</c:v>
                </c:pt>
                <c:pt idx="65">
                  <c:v>21.6</c:v>
                </c:pt>
                <c:pt idx="66">
                  <c:v>21.84</c:v>
                </c:pt>
                <c:pt idx="67">
                  <c:v>22.08</c:v>
                </c:pt>
                <c:pt idx="68">
                  <c:v>22.32</c:v>
                </c:pt>
                <c:pt idx="69">
                  <c:v>22.56</c:v>
                </c:pt>
                <c:pt idx="70">
                  <c:v>22.8</c:v>
                </c:pt>
                <c:pt idx="71">
                  <c:v>23.04</c:v>
                </c:pt>
                <c:pt idx="72">
                  <c:v>23.28</c:v>
                </c:pt>
                <c:pt idx="73">
                  <c:v>23.52</c:v>
                </c:pt>
                <c:pt idx="74">
                  <c:v>23.759999999999998</c:v>
                </c:pt>
                <c:pt idx="75">
                  <c:v>24</c:v>
                </c:pt>
                <c:pt idx="76">
                  <c:v>24.24</c:v>
                </c:pt>
                <c:pt idx="77">
                  <c:v>24.48</c:v>
                </c:pt>
                <c:pt idx="78">
                  <c:v>24.72</c:v>
                </c:pt>
                <c:pt idx="79">
                  <c:v>24.96</c:v>
                </c:pt>
                <c:pt idx="80">
                  <c:v>25.2</c:v>
                </c:pt>
                <c:pt idx="81">
                  <c:v>25.439999999999998</c:v>
                </c:pt>
                <c:pt idx="82">
                  <c:v>25.68</c:v>
                </c:pt>
                <c:pt idx="83">
                  <c:v>25.919999999999998</c:v>
                </c:pt>
                <c:pt idx="84">
                  <c:v>26.16</c:v>
                </c:pt>
                <c:pt idx="85">
                  <c:v>26.4</c:v>
                </c:pt>
                <c:pt idx="86">
                  <c:v>26.64</c:v>
                </c:pt>
                <c:pt idx="87">
                  <c:v>26.88</c:v>
                </c:pt>
                <c:pt idx="88">
                  <c:v>27.119999999999997</c:v>
                </c:pt>
                <c:pt idx="89">
                  <c:v>27.36</c:v>
                </c:pt>
                <c:pt idx="90">
                  <c:v>27.599999999999998</c:v>
                </c:pt>
                <c:pt idx="91">
                  <c:v>27.84</c:v>
                </c:pt>
                <c:pt idx="92">
                  <c:v>28.08</c:v>
                </c:pt>
                <c:pt idx="93">
                  <c:v>28.32</c:v>
                </c:pt>
                <c:pt idx="94">
                  <c:v>28.56</c:v>
                </c:pt>
                <c:pt idx="95">
                  <c:v>28.8</c:v>
                </c:pt>
                <c:pt idx="96">
                  <c:v>29.04</c:v>
                </c:pt>
                <c:pt idx="97">
                  <c:v>29.279999999999998</c:v>
                </c:pt>
                <c:pt idx="98">
                  <c:v>29.52</c:v>
                </c:pt>
                <c:pt idx="99">
                  <c:v>29.759999999999998</c:v>
                </c:pt>
                <c:pt idx="100">
                  <c:v>30</c:v>
                </c:pt>
              </c:numCache>
            </c:numRef>
          </c:xVal>
          <c:yVal>
            <c:numRef>
              <c:f>D_10!$AT$15:$AT$1015</c:f>
              <c:numCache>
                <c:formatCode>General</c:formatCode>
                <c:ptCount val="1001"/>
                <c:pt idx="0">
                  <c:v>-30172.470935248817</c:v>
                </c:pt>
                <c:pt idx="1">
                  <c:v>-30163.750323851473</c:v>
                </c:pt>
                <c:pt idx="2">
                  <c:v>-30196.886618076318</c:v>
                </c:pt>
                <c:pt idx="3">
                  <c:v>-30270.729047731824</c:v>
                </c:pt>
                <c:pt idx="4">
                  <c:v>-30384.088356929642</c:v>
                </c:pt>
                <c:pt idx="5">
                  <c:v>-30535.73680408462</c:v>
                </c:pt>
                <c:pt idx="6">
                  <c:v>-30724.408161914758</c:v>
                </c:pt>
                <c:pt idx="7">
                  <c:v>-30948.79771744123</c:v>
                </c:pt>
                <c:pt idx="8">
                  <c:v>-31207.562271988409</c:v>
                </c:pt>
                <c:pt idx="9">
                  <c:v>-31499.320141183824</c:v>
                </c:pt>
                <c:pt idx="10">
                  <c:v>-31822.651154958181</c:v>
                </c:pt>
                <c:pt idx="11">
                  <c:v>-32176.096657545364</c:v>
                </c:pt>
                <c:pt idx="12">
                  <c:v>-32558.159507482451</c:v>
                </c:pt>
                <c:pt idx="13">
                  <c:v>-32967.304077609668</c:v>
                </c:pt>
                <c:pt idx="14">
                  <c:v>-33401.956255070414</c:v>
                </c:pt>
                <c:pt idx="15">
                  <c:v>-33860.503441311303</c:v>
                </c:pt>
                <c:pt idx="16">
                  <c:v>-34341.294552082079</c:v>
                </c:pt>
                <c:pt idx="17">
                  <c:v>-34842.640017435682</c:v>
                </c:pt>
                <c:pt idx="18">
                  <c:v>-35362.81178172824</c:v>
                </c:pt>
                <c:pt idx="19">
                  <c:v>-35900.04330361903</c:v>
                </c:pt>
                <c:pt idx="20">
                  <c:v>-36452.529556070534</c:v>
                </c:pt>
                <c:pt idx="21">
                  <c:v>-37018.42702634837</c:v>
                </c:pt>
                <c:pt idx="22">
                  <c:v>-37595.853716021375</c:v>
                </c:pt>
                <c:pt idx="23">
                  <c:v>-38182.889140961517</c:v>
                </c:pt>
                <c:pt idx="24">
                  <c:v>-38777.574331343996</c:v>
                </c:pt>
                <c:pt idx="25">
                  <c:v>-39377.91183164715</c:v>
                </c:pt>
                <c:pt idx="26">
                  <c:v>-39981.865700652481</c:v>
                </c:pt>
                <c:pt idx="27">
                  <c:v>-40587.36151144468</c:v>
                </c:pt>
                <c:pt idx="28">
                  <c:v>-41192.28635141164</c:v>
                </c:pt>
                <c:pt idx="29">
                  <c:v>-41794.488822244406</c:v>
                </c:pt>
                <c:pt idx="30">
                  <c:v>-42391.779039937181</c:v>
                </c:pt>
                <c:pt idx="31">
                  <c:v>-42981.928634787364</c:v>
                </c:pt>
                <c:pt idx="32">
                  <c:v>-43562.670751395541</c:v>
                </c:pt>
                <c:pt idx="33">
                  <c:v>-44131.700048665451</c:v>
                </c:pt>
                <c:pt idx="34">
                  <c:v>-44686.672699804047</c:v>
                </c:pt>
                <c:pt idx="35">
                  <c:v>-45225.206392321365</c:v>
                </c:pt>
                <c:pt idx="36">
                  <c:v>-45744.88032803074</c:v>
                </c:pt>
                <c:pt idx="37">
                  <c:v>-46243.235223048607</c:v>
                </c:pt>
                <c:pt idx="38">
                  <c:v>-46717.773307794581</c:v>
                </c:pt>
                <c:pt idx="39">
                  <c:v>-47165.958326991451</c:v>
                </c:pt>
                <c:pt idx="40">
                  <c:v>-47585.215539665231</c:v>
                </c:pt>
                <c:pt idx="41">
                  <c:v>-47972.931719145061</c:v>
                </c:pt>
                <c:pt idx="42">
                  <c:v>-48326.455153063253</c:v>
                </c:pt>
                <c:pt idx="43">
                  <c:v>-48643.095643355329</c:v>
                </c:pt>
                <c:pt idx="44">
                  <c:v>-48920.124506259956</c:v>
                </c:pt>
                <c:pt idx="45">
                  <c:v>-49154.77457231898</c:v>
                </c:pt>
                <c:pt idx="46">
                  <c:v>-49344.240186377479</c:v>
                </c:pt>
                <c:pt idx="47">
                  <c:v>-49485.677207583612</c:v>
                </c:pt>
                <c:pt idx="48">
                  <c:v>-49576.203009388781</c:v>
                </c:pt>
                <c:pt idx="49">
                  <c:v>-49612.896479547555</c:v>
                </c:pt>
                <c:pt idx="50">
                  <c:v>-49592.798020117618</c:v>
                </c:pt>
                <c:pt idx="51">
                  <c:v>-49512.909547459938</c:v>
                </c:pt>
                <c:pt idx="52">
                  <c:v>-49370.194492238566</c:v>
                </c:pt>
                <c:pt idx="53">
                  <c:v>-49161.577799420767</c:v>
                </c:pt>
                <c:pt idx="54">
                  <c:v>-48883.945928276989</c:v>
                </c:pt>
                <c:pt idx="55">
                  <c:v>-48534.146852380836</c:v>
                </c:pt>
                <c:pt idx="56">
                  <c:v>-48108.990059609096</c:v>
                </c:pt>
                <c:pt idx="57">
                  <c:v>-47605.246552141711</c:v>
                </c:pt>
                <c:pt idx="58">
                  <c:v>-47019.648846461838</c:v>
                </c:pt>
                <c:pt idx="59">
                  <c:v>-46348.890973355803</c:v>
                </c:pt>
                <c:pt idx="60">
                  <c:v>-45589.628477913073</c:v>
                </c:pt>
                <c:pt idx="61">
                  <c:v>-44738.478419526313</c:v>
                </c:pt>
                <c:pt idx="62">
                  <c:v>-43792.019371891387</c:v>
                </c:pt>
                <c:pt idx="63">
                  <c:v>-42746.7914230073</c:v>
                </c:pt>
                <c:pt idx="64">
                  <c:v>-41599.296175176183</c:v>
                </c:pt>
                <c:pt idx="65">
                  <c:v>-40345.996745003496</c:v>
                </c:pt>
                <c:pt idx="66">
                  <c:v>-38983.317763397783</c:v>
                </c:pt>
                <c:pt idx="67">
                  <c:v>-37507.645375570668</c:v>
                </c:pt>
                <c:pt idx="68">
                  <c:v>-35915.327241037092</c:v>
                </c:pt>
                <c:pt idx="69">
                  <c:v>-34202.672533615165</c:v>
                </c:pt>
                <c:pt idx="70">
                  <c:v>-32365.95194142605</c:v>
                </c:pt>
                <c:pt idx="71">
                  <c:v>-30401.397666894271</c:v>
                </c:pt>
                <c:pt idx="72">
                  <c:v>-28305.203426747357</c:v>
                </c:pt>
                <c:pt idx="73">
                  <c:v>-26073.524452016056</c:v>
                </c:pt>
                <c:pt idx="74">
                  <c:v>-23702.477488034383</c:v>
                </c:pt>
                <c:pt idx="75">
                  <c:v>-21188.140794439423</c:v>
                </c:pt>
                <c:pt idx="76">
                  <c:v>-18526.554145171518</c:v>
                </c:pt>
                <c:pt idx="77">
                  <c:v>-15713.718828474004</c:v>
                </c:pt>
                <c:pt idx="78">
                  <c:v>-12745.597646893708</c:v>
                </c:pt>
                <c:pt idx="79">
                  <c:v>-9618.1149172803343</c:v>
                </c:pt>
                <c:pt idx="80">
                  <c:v>-6327.156470786962</c:v>
                </c:pt>
                <c:pt idx="81">
                  <c:v>-2868.5696528697517</c:v>
                </c:pt>
                <c:pt idx="82">
                  <c:v>761.83667671208241</c:v>
                </c:pt>
                <c:pt idx="83">
                  <c:v>4568.2921438957492</c:v>
                </c:pt>
                <c:pt idx="84">
                  <c:v>8555.0648603157824</c:v>
                </c:pt>
                <c:pt idx="85">
                  <c:v>12726.461423303197</c:v>
                </c:pt>
                <c:pt idx="86">
                  <c:v>17086.826915885984</c:v>
                </c:pt>
                <c:pt idx="87">
                  <c:v>21640.544906788818</c:v>
                </c:pt>
                <c:pt idx="88">
                  <c:v>26392.037450433352</c:v>
                </c:pt>
                <c:pt idx="89">
                  <c:v>31345.765086938154</c:v>
                </c:pt>
                <c:pt idx="90">
                  <c:v>36506.2268421181</c:v>
                </c:pt>
                <c:pt idx="91">
                  <c:v>41877.960227485768</c:v>
                </c:pt>
                <c:pt idx="92">
                  <c:v>47465.54124024952</c:v>
                </c:pt>
                <c:pt idx="93">
                  <c:v>53273.584363315509</c:v>
                </c:pt>
                <c:pt idx="94">
                  <c:v>59306.742565285989</c:v>
                </c:pt>
                <c:pt idx="95">
                  <c:v>65569.707300460432</c:v>
                </c:pt>
                <c:pt idx="96">
                  <c:v>72067.208508835029</c:v>
                </c:pt>
                <c:pt idx="97">
                  <c:v>78804.014616102737</c:v>
                </c:pt>
                <c:pt idx="98">
                  <c:v>85784.932533653511</c:v>
                </c:pt>
                <c:pt idx="99">
                  <c:v>93014.807658573845</c:v>
                </c:pt>
                <c:pt idx="100">
                  <c:v>100498.52387364744</c:v>
                </c:pt>
              </c:numCache>
            </c:numRef>
          </c:yVal>
          <c:smooth val="1"/>
          <c:extLst>
            <c:ext xmlns:c16="http://schemas.microsoft.com/office/drawing/2014/chart" uri="{C3380CC4-5D6E-409C-BE32-E72D297353CC}">
              <c16:uniqueId val="{00000001-D1E4-4D64-87A4-13C223D30CD1}"/>
            </c:ext>
          </c:extLst>
        </c:ser>
        <c:dLbls>
          <c:showLegendKey val="0"/>
          <c:showVal val="0"/>
          <c:showCatName val="0"/>
          <c:showSerName val="0"/>
          <c:showPercent val="0"/>
          <c:showBubbleSize val="0"/>
        </c:dLbls>
        <c:axId val="1340132495"/>
        <c:axId val="1341382799"/>
      </c:scatterChart>
      <c:valAx>
        <c:axId val="1340132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382799"/>
        <c:crosses val="autoZero"/>
        <c:crossBetween val="midCat"/>
      </c:valAx>
      <c:valAx>
        <c:axId val="134138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1324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1683154990242"/>
          <c:y val="8.410518129678235E-2"/>
          <c:w val="0.84605379455773155"/>
          <c:h val="0.74937591134441528"/>
        </c:manualLayout>
      </c:layout>
      <c:scatterChart>
        <c:scatterStyle val="lineMarker"/>
        <c:varyColors val="0"/>
        <c:ser>
          <c:idx val="0"/>
          <c:order val="0"/>
          <c:tx>
            <c:v>外挿区間</c:v>
          </c:tx>
          <c:spPr>
            <a:ln w="12700" cap="rnd">
              <a:solidFill>
                <a:schemeClr val="bg1">
                  <a:lumMod val="65000"/>
                </a:schemeClr>
              </a:solidFill>
              <a:prstDash val="sysDash"/>
              <a:round/>
            </a:ln>
            <a:effectLst/>
          </c:spPr>
          <c:marker>
            <c:symbol val="none"/>
          </c:marker>
          <c:xVal>
            <c:numRef>
              <c:f>'C3'!$AX$14:$AX$1014</c:f>
              <c:numCache>
                <c:formatCode>General</c:formatCode>
                <c:ptCount val="1001"/>
                <c:pt idx="0">
                  <c:v>-1.4017728303086421</c:v>
                </c:pt>
                <c:pt idx="1">
                  <c:v>-1.3165670308190125</c:v>
                </c:pt>
                <c:pt idx="2">
                  <c:v>-1.2313612313293829</c:v>
                </c:pt>
                <c:pt idx="3">
                  <c:v>-1.1461554318397531</c:v>
                </c:pt>
                <c:pt idx="4">
                  <c:v>-1.0609496323501235</c:v>
                </c:pt>
                <c:pt idx="5">
                  <c:v>-0.97574383286049393</c:v>
                </c:pt>
                <c:pt idx="6">
                  <c:v>-0.89053803337086435</c:v>
                </c:pt>
                <c:pt idx="7">
                  <c:v>-0.80533223388123465</c:v>
                </c:pt>
                <c:pt idx="8">
                  <c:v>-0.72012643439160506</c:v>
                </c:pt>
                <c:pt idx="9">
                  <c:v>-0.63492063490197548</c:v>
                </c:pt>
                <c:pt idx="10">
                  <c:v>-0.54971483541234578</c:v>
                </c:pt>
                <c:pt idx="11">
                  <c:v>-0.4645090359227162</c:v>
                </c:pt>
                <c:pt idx="12">
                  <c:v>-0.37930323643308661</c:v>
                </c:pt>
                <c:pt idx="13">
                  <c:v>-0.29409743694345702</c:v>
                </c:pt>
                <c:pt idx="14">
                  <c:v>-0.20889163745382722</c:v>
                </c:pt>
                <c:pt idx="15">
                  <c:v>-0.12368583796419763</c:v>
                </c:pt>
                <c:pt idx="16">
                  <c:v>-3.8480038474568046E-2</c:v>
                </c:pt>
                <c:pt idx="17">
                  <c:v>4.672576101506154E-2</c:v>
                </c:pt>
                <c:pt idx="18">
                  <c:v>0.13193156050469113</c:v>
                </c:pt>
                <c:pt idx="19">
                  <c:v>0.21713735999432093</c:v>
                </c:pt>
                <c:pt idx="20">
                  <c:v>0.30234315948395052</c:v>
                </c:pt>
                <c:pt idx="21">
                  <c:v>0.3875489589735801</c:v>
                </c:pt>
                <c:pt idx="22">
                  <c:v>0.47275475846320969</c:v>
                </c:pt>
                <c:pt idx="23">
                  <c:v>0.55796055795283928</c:v>
                </c:pt>
                <c:pt idx="24">
                  <c:v>0.64316635744246908</c:v>
                </c:pt>
                <c:pt idx="25">
                  <c:v>0.72837215693209889</c:v>
                </c:pt>
                <c:pt idx="26">
                  <c:v>0.81357795642172825</c:v>
                </c:pt>
                <c:pt idx="27">
                  <c:v>0.89878375591135806</c:v>
                </c:pt>
                <c:pt idx="28">
                  <c:v>0.98398955540098787</c:v>
                </c:pt>
                <c:pt idx="29">
                  <c:v>1.0691953548906172</c:v>
                </c:pt>
                <c:pt idx="30">
                  <c:v>1.154401154380247</c:v>
                </c:pt>
                <c:pt idx="31">
                  <c:v>1.2396069538698764</c:v>
                </c:pt>
                <c:pt idx="32">
                  <c:v>1.3248127533595062</c:v>
                </c:pt>
                <c:pt idx="33">
                  <c:v>1.410018552849136</c:v>
                </c:pt>
                <c:pt idx="34">
                  <c:v>1.4952243523387654</c:v>
                </c:pt>
                <c:pt idx="35">
                  <c:v>1.5804301518283952</c:v>
                </c:pt>
                <c:pt idx="36">
                  <c:v>1.6656359513180246</c:v>
                </c:pt>
                <c:pt idx="37">
                  <c:v>1.7508417508076544</c:v>
                </c:pt>
                <c:pt idx="38">
                  <c:v>1.8360475502972842</c:v>
                </c:pt>
                <c:pt idx="39">
                  <c:v>1.9212533497869135</c:v>
                </c:pt>
                <c:pt idx="40">
                  <c:v>2.0064591492765436</c:v>
                </c:pt>
                <c:pt idx="41">
                  <c:v>2.0916649487661729</c:v>
                </c:pt>
                <c:pt idx="42">
                  <c:v>2.1768707482558023</c:v>
                </c:pt>
                <c:pt idx="43">
                  <c:v>2.2620765477454325</c:v>
                </c:pt>
                <c:pt idx="44">
                  <c:v>2.3472823472350619</c:v>
                </c:pt>
                <c:pt idx="45">
                  <c:v>2.4324881467246913</c:v>
                </c:pt>
                <c:pt idx="46">
                  <c:v>2.5176939462143206</c:v>
                </c:pt>
                <c:pt idx="47">
                  <c:v>2.60289974570395</c:v>
                </c:pt>
                <c:pt idx="48">
                  <c:v>2.6881055451935794</c:v>
                </c:pt>
                <c:pt idx="49">
                  <c:v>2.7733113446832096</c:v>
                </c:pt>
                <c:pt idx="50">
                  <c:v>2.858517144172839</c:v>
                </c:pt>
                <c:pt idx="51">
                  <c:v>2.9437229436624683</c:v>
                </c:pt>
                <c:pt idx="52">
                  <c:v>3.0289287431520977</c:v>
                </c:pt>
                <c:pt idx="53">
                  <c:v>3.114134542641728</c:v>
                </c:pt>
                <c:pt idx="54">
                  <c:v>3.1993403421313573</c:v>
                </c:pt>
                <c:pt idx="55">
                  <c:v>3.2845461416209867</c:v>
                </c:pt>
                <c:pt idx="56">
                  <c:v>3.3697519411106169</c:v>
                </c:pt>
                <c:pt idx="57">
                  <c:v>3.4549577406002463</c:v>
                </c:pt>
                <c:pt idx="58">
                  <c:v>3.5401635400898757</c:v>
                </c:pt>
                <c:pt idx="59">
                  <c:v>3.6253693395795059</c:v>
                </c:pt>
                <c:pt idx="60">
                  <c:v>3.7105751390691353</c:v>
                </c:pt>
                <c:pt idx="61">
                  <c:v>3.7957809385587646</c:v>
                </c:pt>
                <c:pt idx="62">
                  <c:v>3.880986738048394</c:v>
                </c:pt>
                <c:pt idx="63">
                  <c:v>3.9661925375380243</c:v>
                </c:pt>
                <c:pt idx="64">
                  <c:v>4.0513983370276536</c:v>
                </c:pt>
                <c:pt idx="65">
                  <c:v>4.136604136517283</c:v>
                </c:pt>
                <c:pt idx="66">
                  <c:v>4.2218099360069132</c:v>
                </c:pt>
                <c:pt idx="67">
                  <c:v>4.3070157354965426</c:v>
                </c:pt>
                <c:pt idx="68">
                  <c:v>4.392221534986172</c:v>
                </c:pt>
                <c:pt idx="69">
                  <c:v>4.4774273344758013</c:v>
                </c:pt>
                <c:pt idx="70">
                  <c:v>4.5626331339654316</c:v>
                </c:pt>
                <c:pt idx="71">
                  <c:v>4.6478389334550609</c:v>
                </c:pt>
                <c:pt idx="72">
                  <c:v>4.7330447329446903</c:v>
                </c:pt>
                <c:pt idx="73">
                  <c:v>4.8182505324343206</c:v>
                </c:pt>
                <c:pt idx="74">
                  <c:v>4.9034563319239499</c:v>
                </c:pt>
                <c:pt idx="75">
                  <c:v>4.9886621314135793</c:v>
                </c:pt>
                <c:pt idx="76">
                  <c:v>5.0738679309032095</c:v>
                </c:pt>
                <c:pt idx="77">
                  <c:v>5.1590737303928389</c:v>
                </c:pt>
                <c:pt idx="78">
                  <c:v>5.2442795298824683</c:v>
                </c:pt>
                <c:pt idx="79">
                  <c:v>5.3294853293720976</c:v>
                </c:pt>
                <c:pt idx="80">
                  <c:v>5.4146911288617279</c:v>
                </c:pt>
                <c:pt idx="81">
                  <c:v>5.4998969283513572</c:v>
                </c:pt>
                <c:pt idx="82">
                  <c:v>5.5851027278409866</c:v>
                </c:pt>
                <c:pt idx="83">
                  <c:v>5.6703085273306169</c:v>
                </c:pt>
                <c:pt idx="84">
                  <c:v>5.7555143268202462</c:v>
                </c:pt>
                <c:pt idx="85">
                  <c:v>5.8407201263098756</c:v>
                </c:pt>
                <c:pt idx="86">
                  <c:v>5.9259259257995058</c:v>
                </c:pt>
                <c:pt idx="87">
                  <c:v>6.0111317252891352</c:v>
                </c:pt>
                <c:pt idx="88">
                  <c:v>6.0963375247787646</c:v>
                </c:pt>
                <c:pt idx="89">
                  <c:v>6.1815433242683939</c:v>
                </c:pt>
                <c:pt idx="90">
                  <c:v>6.2667491237580242</c:v>
                </c:pt>
                <c:pt idx="91">
                  <c:v>6.3519549232476535</c:v>
                </c:pt>
                <c:pt idx="92">
                  <c:v>6.4371607227372829</c:v>
                </c:pt>
                <c:pt idx="93">
                  <c:v>6.5223665222269132</c:v>
                </c:pt>
                <c:pt idx="94">
                  <c:v>6.6075723217165425</c:v>
                </c:pt>
                <c:pt idx="95">
                  <c:v>6.6927781212061728</c:v>
                </c:pt>
                <c:pt idx="96">
                  <c:v>6.7779839206958012</c:v>
                </c:pt>
                <c:pt idx="97">
                  <c:v>6.8631897201854315</c:v>
                </c:pt>
                <c:pt idx="98">
                  <c:v>6.9483955196750617</c:v>
                </c:pt>
                <c:pt idx="99">
                  <c:v>7.0336013191646902</c:v>
                </c:pt>
                <c:pt idx="100">
                  <c:v>7.1188071186543205</c:v>
                </c:pt>
              </c:numCache>
            </c:numRef>
          </c:xVal>
          <c:yVal>
            <c:numRef>
              <c:f>'C3'!$AW$14:$AW$1014</c:f>
              <c:numCache>
                <c:formatCode>General</c:formatCode>
                <c:ptCount val="1001"/>
                <c:pt idx="0">
                  <c:v>2.5253205954577622E-5</c:v>
                </c:pt>
                <c:pt idx="1">
                  <c:v>2.5401982147762176E-5</c:v>
                </c:pt>
                <c:pt idx="2">
                  <c:v>2.612808854927605E-5</c:v>
                </c:pt>
                <c:pt idx="3">
                  <c:v>2.7401057708206551E-5</c:v>
                </c:pt>
                <c:pt idx="4">
                  <c:v>2.9191044386284252E-5</c:v>
                </c:pt>
                <c:pt idx="5">
                  <c:v>3.1468825557882883E-5</c:v>
                </c:pt>
                <c:pt idx="6">
                  <c:v>3.4205800410019421E-5</c:v>
                </c:pt>
                <c:pt idx="7">
                  <c:v>3.7373990342354045E-5</c:v>
                </c:pt>
                <c:pt idx="8">
                  <c:v>4.0946038967190108E-5</c:v>
                </c:pt>
                <c:pt idx="9">
                  <c:v>4.4895212109474207E-5</c:v>
                </c:pt>
                <c:pt idx="10">
                  <c:v>4.919539780679613E-5</c:v>
                </c:pt>
                <c:pt idx="11">
                  <c:v>5.3821106309388869E-5</c:v>
                </c:pt>
                <c:pt idx="12">
                  <c:v>5.874747008012863E-5</c:v>
                </c:pt>
                <c:pt idx="13">
                  <c:v>6.3950243794534835E-5</c:v>
                </c:pt>
                <c:pt idx="14">
                  <c:v>6.9405804340770099E-5</c:v>
                </c:pt>
                <c:pt idx="15">
                  <c:v>7.5091150819640227E-5</c:v>
                </c:pt>
                <c:pt idx="16">
                  <c:v>8.098390454459429E-5</c:v>
                </c:pt>
                <c:pt idx="17">
                  <c:v>8.7062309041724504E-5</c:v>
                </c:pt>
                <c:pt idx="18">
                  <c:v>9.3305230049766307E-5</c:v>
                </c:pt>
                <c:pt idx="19">
                  <c:v>9.9692155520098407E-5</c:v>
                </c:pt>
                <c:pt idx="20">
                  <c:v>1.0620319561674261E-4</c:v>
                </c:pt>
                <c:pt idx="21">
                  <c:v>1.1281908271636401E-4</c:v>
                </c:pt>
                <c:pt idx="22">
                  <c:v>1.1952117140827089E-4</c:v>
                </c:pt>
                <c:pt idx="23">
                  <c:v>1.2629143849441472E-4</c:v>
                </c:pt>
                <c:pt idx="24">
                  <c:v>1.3311248298939019E-4</c:v>
                </c:pt>
                <c:pt idx="25">
                  <c:v>1.3996752612043526E-4</c:v>
                </c:pt>
                <c:pt idx="26">
                  <c:v>1.4684041132743091E-4</c:v>
                </c:pt>
                <c:pt idx="27">
                  <c:v>1.5371560426290158E-4</c:v>
                </c:pt>
                <c:pt idx="28">
                  <c:v>1.6057819279201473E-4</c:v>
                </c:pt>
                <c:pt idx="29">
                  <c:v>1.6741388699258107E-4</c:v>
                </c:pt>
                <c:pt idx="30">
                  <c:v>1.7420901915505459E-4</c:v>
                </c:pt>
                <c:pt idx="31">
                  <c:v>1.8095054378253238E-4</c:v>
                </c:pt>
                <c:pt idx="32">
                  <c:v>1.8762603759075487E-4</c:v>
                </c:pt>
                <c:pt idx="33">
                  <c:v>1.9422369950810556E-4</c:v>
                </c:pt>
                <c:pt idx="34">
                  <c:v>2.0073235067561118E-4</c:v>
                </c:pt>
                <c:pt idx="35">
                  <c:v>2.0714143444694176E-4</c:v>
                </c:pt>
                <c:pt idx="36">
                  <c:v>2.1344101638841044E-4</c:v>
                </c:pt>
                <c:pt idx="37">
                  <c:v>2.1962178427897366E-4</c:v>
                </c:pt>
                <c:pt idx="38">
                  <c:v>2.2567504811023097E-4</c:v>
                </c:pt>
                <c:pt idx="39">
                  <c:v>2.3159274008642517E-4</c:v>
                </c:pt>
                <c:pt idx="40">
                  <c:v>2.373674146244423E-4</c:v>
                </c:pt>
                <c:pt idx="41">
                  <c:v>2.4299224835381154E-4</c:v>
                </c:pt>
                <c:pt idx="42">
                  <c:v>2.4846104011670532E-4</c:v>
                </c:pt>
                <c:pt idx="43">
                  <c:v>2.5376821096793933E-4</c:v>
                </c:pt>
                <c:pt idx="44">
                  <c:v>2.5890880417497235E-4</c:v>
                </c:pt>
                <c:pt idx="45">
                  <c:v>2.6387848521790638E-4</c:v>
                </c:pt>
                <c:pt idx="46">
                  <c:v>2.6867354178948674E-4</c:v>
                </c:pt>
                <c:pt idx="47">
                  <c:v>2.7329088379510181E-4</c:v>
                </c:pt>
                <c:pt idx="48">
                  <c:v>2.7772804335278337E-4</c:v>
                </c:pt>
                <c:pt idx="49">
                  <c:v>2.8198317479320636E-4</c:v>
                </c:pt>
                <c:pt idx="50">
                  <c:v>2.8605505465968868E-4</c:v>
                </c:pt>
                <c:pt idx="51">
                  <c:v>2.8994308170819162E-4</c:v>
                </c:pt>
                <c:pt idx="52">
                  <c:v>2.9364727690731974E-4</c:v>
                </c:pt>
                <c:pt idx="53">
                  <c:v>2.9716828343832077E-4</c:v>
                </c:pt>
                <c:pt idx="54">
                  <c:v>3.0050736669508563E-4</c:v>
                </c:pt>
                <c:pt idx="55">
                  <c:v>3.036664142841484E-4</c:v>
                </c:pt>
                <c:pt idx="56">
                  <c:v>3.0664793602468637E-4</c:v>
                </c:pt>
                <c:pt idx="57">
                  <c:v>3.0945506394852013E-4</c:v>
                </c:pt>
                <c:pt idx="58">
                  <c:v>3.1209155230011332E-4</c:v>
                </c:pt>
                <c:pt idx="59">
                  <c:v>3.1456177753657314E-4</c:v>
                </c:pt>
                <c:pt idx="60">
                  <c:v>3.1687073832764942E-4</c:v>
                </c:pt>
                <c:pt idx="61">
                  <c:v>3.1902405555573563E-4</c:v>
                </c:pt>
                <c:pt idx="62">
                  <c:v>3.2102797231586843E-4</c:v>
                </c:pt>
                <c:pt idx="63">
                  <c:v>3.2288935391572759E-4</c:v>
                </c:pt>
                <c:pt idx="64">
                  <c:v>3.24615687875636E-4</c:v>
                </c:pt>
                <c:pt idx="65">
                  <c:v>3.2621508392855994E-4</c:v>
                </c:pt>
                <c:pt idx="66">
                  <c:v>3.2769627402010873E-4</c:v>
                </c:pt>
                <c:pt idx="67">
                  <c:v>3.29068612308535E-4</c:v>
                </c:pt>
                <c:pt idx="68">
                  <c:v>3.3034207516473464E-4</c:v>
                </c:pt>
                <c:pt idx="69">
                  <c:v>3.3152726117224645E-4</c:v>
                </c:pt>
                <c:pt idx="70">
                  <c:v>3.3263539112725283E-4</c:v>
                </c:pt>
                <c:pt idx="71">
                  <c:v>3.3367830803857936E-4</c:v>
                </c:pt>
                <c:pt idx="72">
                  <c:v>3.3466847712769433E-4</c:v>
                </c:pt>
                <c:pt idx="73">
                  <c:v>3.3561898582870988E-4</c:v>
                </c:pt>
                <c:pt idx="74">
                  <c:v>3.3654354378838099E-4</c:v>
                </c:pt>
                <c:pt idx="75">
                  <c:v>3.374564828661058E-4</c:v>
                </c:pt>
                <c:pt idx="76">
                  <c:v>3.3837275713392595E-4</c:v>
                </c:pt>
                <c:pt idx="77">
                  <c:v>3.3930794287652583E-4</c:v>
                </c:pt>
                <c:pt idx="78">
                  <c:v>3.4027823859123364E-4</c:v>
                </c:pt>
                <c:pt idx="79">
                  <c:v>3.4130046498802042E-4</c:v>
                </c:pt>
                <c:pt idx="80">
                  <c:v>3.4239206498950028E-4</c:v>
                </c:pt>
                <c:pt idx="81">
                  <c:v>3.4357110373093105E-4</c:v>
                </c:pt>
                <c:pt idx="82">
                  <c:v>3.4485626856021318E-4</c:v>
                </c:pt>
                <c:pt idx="83">
                  <c:v>3.4626686903789082E-4</c:v>
                </c:pt>
                <c:pt idx="84">
                  <c:v>3.4782283693715046E-4</c:v>
                </c:pt>
                <c:pt idx="85">
                  <c:v>3.4954472624382335E-4</c:v>
                </c:pt>
                <c:pt idx="86">
                  <c:v>3.514537131563822E-4</c:v>
                </c:pt>
                <c:pt idx="87">
                  <c:v>3.535715960859445E-4</c:v>
                </c:pt>
                <c:pt idx="88">
                  <c:v>3.5592079565626995E-4</c:v>
                </c:pt>
                <c:pt idx="89">
                  <c:v>3.585243547037613E-4</c:v>
                </c:pt>
                <c:pt idx="90">
                  <c:v>3.6140593827746557E-4</c:v>
                </c:pt>
                <c:pt idx="91">
                  <c:v>3.6458983363907174E-4</c:v>
                </c:pt>
                <c:pt idx="92">
                  <c:v>3.6810095026291339E-4</c:v>
                </c:pt>
                <c:pt idx="93">
                  <c:v>3.7196481983596552E-4</c:v>
                </c:pt>
                <c:pt idx="94">
                  <c:v>3.7620759625784782E-4</c:v>
                </c:pt>
                <c:pt idx="95">
                  <c:v>3.8085605564082262E-4</c:v>
                </c:pt>
                <c:pt idx="96">
                  <c:v>3.8593759630979585E-4</c:v>
                </c:pt>
                <c:pt idx="97">
                  <c:v>3.9148023880231618E-4</c:v>
                </c:pt>
                <c:pt idx="98">
                  <c:v>3.9751262586857543E-4</c:v>
                </c:pt>
                <c:pt idx="99">
                  <c:v>4.0406402247140883E-4</c:v>
                </c:pt>
                <c:pt idx="100">
                  <c:v>4.1116431578629522E-4</c:v>
                </c:pt>
              </c:numCache>
            </c:numRef>
          </c:yVal>
          <c:smooth val="0"/>
          <c:extLst>
            <c:ext xmlns:c16="http://schemas.microsoft.com/office/drawing/2014/chart" uri="{C3380CC4-5D6E-409C-BE32-E72D297353CC}">
              <c16:uniqueId val="{00000000-228F-41EC-815A-9D2F838A7A73}"/>
            </c:ext>
          </c:extLst>
        </c:ser>
        <c:ser>
          <c:idx val="2"/>
          <c:order val="1"/>
          <c:tx>
            <c:v>回帰曲線（サンプル範囲）</c:v>
          </c:tx>
          <c:spPr>
            <a:ln w="25400" cap="rnd">
              <a:solidFill>
                <a:schemeClr val="accent1"/>
              </a:solidFill>
              <a:round/>
            </a:ln>
            <a:effectLst/>
          </c:spPr>
          <c:marker>
            <c:symbol val="none"/>
          </c:marker>
          <c:xVal>
            <c:numRef>
              <c:f>'C3'!$BA$14:$BA$1014</c:f>
              <c:numCache>
                <c:formatCode>General</c:formatCode>
                <c:ptCount val="1001"/>
                <c:pt idx="0">
                  <c:v>1.832382785185185E-2</c:v>
                </c:pt>
                <c:pt idx="1">
                  <c:v>7.5127694178271601E-2</c:v>
                </c:pt>
                <c:pt idx="2">
                  <c:v>0.13193156050469135</c:v>
                </c:pt>
                <c:pt idx="3">
                  <c:v>0.18873542683111111</c:v>
                </c:pt>
                <c:pt idx="4">
                  <c:v>0.24553929315753087</c:v>
                </c:pt>
                <c:pt idx="5">
                  <c:v>0.30234315948395057</c:v>
                </c:pt>
                <c:pt idx="6">
                  <c:v>0.35914702581037034</c:v>
                </c:pt>
                <c:pt idx="7">
                  <c:v>0.4159508921367901</c:v>
                </c:pt>
                <c:pt idx="8">
                  <c:v>0.47275475846320986</c:v>
                </c:pt>
                <c:pt idx="9">
                  <c:v>0.52955862478962956</c:v>
                </c:pt>
                <c:pt idx="10">
                  <c:v>0.58636249111604932</c:v>
                </c:pt>
                <c:pt idx="11">
                  <c:v>0.64316635744246908</c:v>
                </c:pt>
                <c:pt idx="12">
                  <c:v>0.69997022376888884</c:v>
                </c:pt>
                <c:pt idx="13">
                  <c:v>0.7567740900953086</c:v>
                </c:pt>
                <c:pt idx="14">
                  <c:v>0.81357795642172837</c:v>
                </c:pt>
                <c:pt idx="15">
                  <c:v>0.87038182274814813</c:v>
                </c:pt>
                <c:pt idx="16">
                  <c:v>0.92718568907456789</c:v>
                </c:pt>
                <c:pt idx="17">
                  <c:v>0.98398955540098765</c:v>
                </c:pt>
                <c:pt idx="18">
                  <c:v>1.0407934217274073</c:v>
                </c:pt>
                <c:pt idx="19">
                  <c:v>1.0975972880538272</c:v>
                </c:pt>
                <c:pt idx="20">
                  <c:v>1.1544011543802468</c:v>
                </c:pt>
                <c:pt idx="21">
                  <c:v>1.2112050207066667</c:v>
                </c:pt>
                <c:pt idx="22">
                  <c:v>1.2680088870330863</c:v>
                </c:pt>
                <c:pt idx="23">
                  <c:v>1.3248127533595062</c:v>
                </c:pt>
                <c:pt idx="24">
                  <c:v>1.3816166196859259</c:v>
                </c:pt>
                <c:pt idx="25">
                  <c:v>1.4384204860123457</c:v>
                </c:pt>
                <c:pt idx="26">
                  <c:v>1.4952243523387654</c:v>
                </c:pt>
                <c:pt idx="27">
                  <c:v>1.5520282186651853</c:v>
                </c:pt>
                <c:pt idx="28">
                  <c:v>1.6088320849916049</c:v>
                </c:pt>
                <c:pt idx="29">
                  <c:v>1.6656359513180248</c:v>
                </c:pt>
                <c:pt idx="30">
                  <c:v>1.7224398176444444</c:v>
                </c:pt>
                <c:pt idx="31">
                  <c:v>1.7792436839708643</c:v>
                </c:pt>
                <c:pt idx="32">
                  <c:v>1.8360475502972839</c:v>
                </c:pt>
                <c:pt idx="33">
                  <c:v>1.8928514166237036</c:v>
                </c:pt>
                <c:pt idx="34">
                  <c:v>1.9496552829501235</c:v>
                </c:pt>
                <c:pt idx="35">
                  <c:v>2.0064591492765431</c:v>
                </c:pt>
                <c:pt idx="36">
                  <c:v>2.063263015602963</c:v>
                </c:pt>
                <c:pt idx="37">
                  <c:v>2.1200668819293829</c:v>
                </c:pt>
                <c:pt idx="38">
                  <c:v>2.1768707482558027</c:v>
                </c:pt>
                <c:pt idx="39">
                  <c:v>2.2336746145822226</c:v>
                </c:pt>
                <c:pt idx="40">
                  <c:v>2.290478480908642</c:v>
                </c:pt>
                <c:pt idx="41">
                  <c:v>2.3472823472350619</c:v>
                </c:pt>
                <c:pt idx="42">
                  <c:v>2.4040862135614818</c:v>
                </c:pt>
                <c:pt idx="43">
                  <c:v>2.4608900798879016</c:v>
                </c:pt>
                <c:pt idx="44">
                  <c:v>2.5176939462143211</c:v>
                </c:pt>
                <c:pt idx="45">
                  <c:v>2.5744978125407409</c:v>
                </c:pt>
                <c:pt idx="46">
                  <c:v>2.6313016788671608</c:v>
                </c:pt>
                <c:pt idx="47">
                  <c:v>2.6881055451935807</c:v>
                </c:pt>
                <c:pt idx="48">
                  <c:v>2.7449094115200001</c:v>
                </c:pt>
                <c:pt idx="49">
                  <c:v>2.80171327784642</c:v>
                </c:pt>
                <c:pt idx="50">
                  <c:v>2.8585171441728399</c:v>
                </c:pt>
                <c:pt idx="51">
                  <c:v>2.9153210104992593</c:v>
                </c:pt>
                <c:pt idx="52">
                  <c:v>2.9721248768256792</c:v>
                </c:pt>
                <c:pt idx="53">
                  <c:v>3.028928743152099</c:v>
                </c:pt>
                <c:pt idx="54">
                  <c:v>3.0857326094785189</c:v>
                </c:pt>
                <c:pt idx="55">
                  <c:v>3.1425364758049383</c:v>
                </c:pt>
                <c:pt idx="56">
                  <c:v>3.1993403421313582</c:v>
                </c:pt>
                <c:pt idx="57">
                  <c:v>3.2561442084577781</c:v>
                </c:pt>
                <c:pt idx="58">
                  <c:v>3.3129480747841979</c:v>
                </c:pt>
                <c:pt idx="59">
                  <c:v>3.3697519411106174</c:v>
                </c:pt>
                <c:pt idx="60">
                  <c:v>3.4265558074370372</c:v>
                </c:pt>
                <c:pt idx="61">
                  <c:v>3.4833596737634571</c:v>
                </c:pt>
                <c:pt idx="62">
                  <c:v>3.540163540089877</c:v>
                </c:pt>
                <c:pt idx="63">
                  <c:v>3.5969674064162964</c:v>
                </c:pt>
                <c:pt idx="64">
                  <c:v>3.6537712727427163</c:v>
                </c:pt>
                <c:pt idx="65">
                  <c:v>3.7105751390691362</c:v>
                </c:pt>
                <c:pt idx="66">
                  <c:v>3.7673790053955556</c:v>
                </c:pt>
                <c:pt idx="67">
                  <c:v>3.8241828717219755</c:v>
                </c:pt>
                <c:pt idx="68">
                  <c:v>3.8809867380483953</c:v>
                </c:pt>
                <c:pt idx="69">
                  <c:v>3.9377906043748152</c:v>
                </c:pt>
                <c:pt idx="70">
                  <c:v>3.9945944707012346</c:v>
                </c:pt>
                <c:pt idx="71">
                  <c:v>4.0513983370276545</c:v>
                </c:pt>
                <c:pt idx="72">
                  <c:v>4.1082022033540735</c:v>
                </c:pt>
                <c:pt idx="73">
                  <c:v>4.1650060696804934</c:v>
                </c:pt>
                <c:pt idx="74">
                  <c:v>4.2218099360069132</c:v>
                </c:pt>
                <c:pt idx="75">
                  <c:v>4.2786138023333331</c:v>
                </c:pt>
                <c:pt idx="76">
                  <c:v>4.335417668659753</c:v>
                </c:pt>
                <c:pt idx="77">
                  <c:v>4.3922215349861728</c:v>
                </c:pt>
                <c:pt idx="78">
                  <c:v>4.4490254013125927</c:v>
                </c:pt>
                <c:pt idx="79">
                  <c:v>4.5058292676390126</c:v>
                </c:pt>
                <c:pt idx="80">
                  <c:v>4.5626331339654316</c:v>
                </c:pt>
                <c:pt idx="81">
                  <c:v>4.6194370002918514</c:v>
                </c:pt>
                <c:pt idx="82">
                  <c:v>4.6762408666182713</c:v>
                </c:pt>
                <c:pt idx="83">
                  <c:v>4.7330447329446912</c:v>
                </c:pt>
                <c:pt idx="84">
                  <c:v>4.7898485992711111</c:v>
                </c:pt>
                <c:pt idx="85">
                  <c:v>4.8466524655975309</c:v>
                </c:pt>
                <c:pt idx="86">
                  <c:v>4.9034563319239508</c:v>
                </c:pt>
                <c:pt idx="87">
                  <c:v>4.9602601982503698</c:v>
                </c:pt>
                <c:pt idx="88">
                  <c:v>5.0170640645767897</c:v>
                </c:pt>
                <c:pt idx="89">
                  <c:v>5.0738679309032095</c:v>
                </c:pt>
                <c:pt idx="90">
                  <c:v>5.1306717972296294</c:v>
                </c:pt>
                <c:pt idx="91">
                  <c:v>5.1874756635560493</c:v>
                </c:pt>
                <c:pt idx="92">
                  <c:v>5.2442795298824691</c:v>
                </c:pt>
                <c:pt idx="93">
                  <c:v>5.301083396208889</c:v>
                </c:pt>
                <c:pt idx="94">
                  <c:v>5.3578872625353089</c:v>
                </c:pt>
                <c:pt idx="95">
                  <c:v>5.4146911288617279</c:v>
                </c:pt>
                <c:pt idx="96">
                  <c:v>5.4714949951881477</c:v>
                </c:pt>
                <c:pt idx="97">
                  <c:v>5.5282988615145676</c:v>
                </c:pt>
                <c:pt idx="98">
                  <c:v>5.5851027278409875</c:v>
                </c:pt>
                <c:pt idx="99">
                  <c:v>5.6419065941674074</c:v>
                </c:pt>
                <c:pt idx="100">
                  <c:v>5.6987104604938272</c:v>
                </c:pt>
              </c:numCache>
            </c:numRef>
          </c:xVal>
          <c:yVal>
            <c:numRef>
              <c:f>'C3'!$AZ$14:$AZ$1014</c:f>
              <c:numCache>
                <c:formatCode>General</c:formatCode>
                <c:ptCount val="1001"/>
                <c:pt idx="0">
                  <c:v>8.5016863732530608E-5</c:v>
                </c:pt>
                <c:pt idx="1">
                  <c:v>8.9126028842150212E-5</c:v>
                </c:pt>
                <c:pt idx="2">
                  <c:v>9.3305230049766334E-5</c:v>
                </c:pt>
                <c:pt idx="3">
                  <c:v>9.7548420437893276E-5</c:v>
                </c:pt>
                <c:pt idx="4">
                  <c:v>1.0184967599524651E-4</c:v>
                </c:pt>
                <c:pt idx="5">
                  <c:v>1.0620319561674261E-4</c:v>
                </c:pt>
                <c:pt idx="6">
                  <c:v>1.1060330110349931E-4</c:v>
                </c:pt>
                <c:pt idx="7">
                  <c:v>1.1504443716283541E-4</c:v>
                </c:pt>
                <c:pt idx="8">
                  <c:v>1.1952117140827089E-4</c:v>
                </c:pt>
                <c:pt idx="9">
                  <c:v>1.2402819435952686E-4</c:v>
                </c:pt>
                <c:pt idx="10">
                  <c:v>1.2856031944252549E-4</c:v>
                </c:pt>
                <c:pt idx="11">
                  <c:v>1.3311248298939019E-4</c:v>
                </c:pt>
                <c:pt idx="12">
                  <c:v>1.3767974423844543E-4</c:v>
                </c:pt>
                <c:pt idx="13">
                  <c:v>1.4225728533421675E-4</c:v>
                </c:pt>
                <c:pt idx="14">
                  <c:v>1.4684041132743091E-4</c:v>
                </c:pt>
                <c:pt idx="15">
                  <c:v>1.5142455017501578E-4</c:v>
                </c:pt>
                <c:pt idx="16">
                  <c:v>1.5600525274010035E-4</c:v>
                </c:pt>
                <c:pt idx="17">
                  <c:v>1.605781927920147E-4</c:v>
                </c:pt>
                <c:pt idx="18">
                  <c:v>1.6513916700629011E-4</c:v>
                </c:pt>
                <c:pt idx="19">
                  <c:v>1.6968409496465891E-4</c:v>
                </c:pt>
                <c:pt idx="20">
                  <c:v>1.7420901915505459E-4</c:v>
                </c:pt>
                <c:pt idx="21">
                  <c:v>1.7871010497161181E-4</c:v>
                </c:pt>
                <c:pt idx="22">
                  <c:v>1.8318364071466626E-4</c:v>
                </c:pt>
                <c:pt idx="23">
                  <c:v>1.8762603759075487E-4</c:v>
                </c:pt>
                <c:pt idx="24">
                  <c:v>1.920338297126156E-4</c:v>
                </c:pt>
                <c:pt idx="25">
                  <c:v>1.9640367409918765E-4</c:v>
                </c:pt>
                <c:pt idx="26">
                  <c:v>2.0073235067561118E-4</c:v>
                </c:pt>
                <c:pt idx="27">
                  <c:v>2.0501676227322764E-4</c:v>
                </c:pt>
                <c:pt idx="28">
                  <c:v>2.092539346295795E-4</c:v>
                </c:pt>
                <c:pt idx="29">
                  <c:v>2.1344101638841044E-4</c:v>
                </c:pt>
                <c:pt idx="30">
                  <c:v>2.1757527909966522E-4</c:v>
                </c:pt>
                <c:pt idx="31">
                  <c:v>2.2165411721948973E-4</c:v>
                </c:pt>
                <c:pt idx="32">
                  <c:v>2.2567504811023097E-4</c:v>
                </c:pt>
                <c:pt idx="33">
                  <c:v>2.2963571204043709E-4</c:v>
                </c:pt>
                <c:pt idx="34">
                  <c:v>2.3353387218485742E-4</c:v>
                </c:pt>
                <c:pt idx="35">
                  <c:v>2.3736741462444228E-4</c:v>
                </c:pt>
                <c:pt idx="36">
                  <c:v>2.4113434834634328E-4</c:v>
                </c:pt>
                <c:pt idx="37">
                  <c:v>2.4483280524391306E-4</c:v>
                </c:pt>
                <c:pt idx="38">
                  <c:v>2.4846104011670537E-4</c:v>
                </c:pt>
                <c:pt idx="39">
                  <c:v>2.5201743067047514E-4</c:v>
                </c:pt>
                <c:pt idx="40">
                  <c:v>2.5550047751717834E-4</c:v>
                </c:pt>
                <c:pt idx="41">
                  <c:v>2.5890880417497235E-4</c:v>
                </c:pt>
                <c:pt idx="42">
                  <c:v>2.6224115706821523E-4</c:v>
                </c:pt>
                <c:pt idx="43">
                  <c:v>2.6549640552746658E-4</c:v>
                </c:pt>
                <c:pt idx="44">
                  <c:v>2.6867354178948674E-4</c:v>
                </c:pt>
                <c:pt idx="45">
                  <c:v>2.7177168099723763E-4</c:v>
                </c:pt>
                <c:pt idx="46">
                  <c:v>2.7479006119988188E-4</c:v>
                </c:pt>
                <c:pt idx="47">
                  <c:v>2.7772804335278348E-4</c:v>
                </c:pt>
                <c:pt idx="48">
                  <c:v>2.8058511131750748E-4</c:v>
                </c:pt>
                <c:pt idx="49">
                  <c:v>2.8336087186182012E-4</c:v>
                </c:pt>
                <c:pt idx="50">
                  <c:v>2.8605505465968868E-4</c:v>
                </c:pt>
                <c:pt idx="51">
                  <c:v>2.886675122912816E-4</c:v>
                </c:pt>
                <c:pt idx="52">
                  <c:v>2.9119822024296839E-4</c:v>
                </c:pt>
                <c:pt idx="53">
                  <c:v>2.9364727690731984E-4</c:v>
                </c:pt>
                <c:pt idx="54">
                  <c:v>2.9601490358310768E-4</c:v>
                </c:pt>
                <c:pt idx="55">
                  <c:v>2.9830144447530493E-4</c:v>
                </c:pt>
                <c:pt idx="56">
                  <c:v>3.0050736669508569E-4</c:v>
                </c:pt>
                <c:pt idx="57">
                  <c:v>3.0263326025982515E-4</c:v>
                </c:pt>
                <c:pt idx="58">
                  <c:v>3.0467983809309956E-4</c:v>
                </c:pt>
                <c:pt idx="59">
                  <c:v>3.0664793602468642E-4</c:v>
                </c:pt>
                <c:pt idx="60">
                  <c:v>3.0853851279056437E-4</c:v>
                </c:pt>
                <c:pt idx="61">
                  <c:v>3.1035265003291309E-4</c:v>
                </c:pt>
                <c:pt idx="62">
                  <c:v>3.1209155230011343E-4</c:v>
                </c:pt>
                <c:pt idx="63">
                  <c:v>3.1375654704674731E-4</c:v>
                </c:pt>
                <c:pt idx="64">
                  <c:v>3.1534908463359791E-4</c:v>
                </c:pt>
                <c:pt idx="65">
                  <c:v>3.1687073832764942E-4</c:v>
                </c:pt>
                <c:pt idx="66">
                  <c:v>3.183232043020871E-4</c:v>
                </c:pt>
                <c:pt idx="67">
                  <c:v>3.1970830163629768E-4</c:v>
                </c:pt>
                <c:pt idx="68">
                  <c:v>3.2102797231586849E-4</c:v>
                </c:pt>
                <c:pt idx="69">
                  <c:v>3.2228428123258837E-4</c:v>
                </c:pt>
                <c:pt idx="70">
                  <c:v>3.2347941618444736E-4</c:v>
                </c:pt>
                <c:pt idx="71">
                  <c:v>3.24615687875636E-4</c:v>
                </c:pt>
                <c:pt idx="72">
                  <c:v>3.2569552991654693E-4</c:v>
                </c:pt>
                <c:pt idx="73">
                  <c:v>3.2672149882377285E-4</c:v>
                </c:pt>
                <c:pt idx="74">
                  <c:v>3.2769627402010873E-4</c:v>
                </c:pt>
                <c:pt idx="75">
                  <c:v>3.2862265783454962E-4</c:v>
                </c:pt>
                <c:pt idx="76">
                  <c:v>3.2950357550229239E-4</c:v>
                </c:pt>
                <c:pt idx="77">
                  <c:v>3.3034207516473464E-4</c:v>
                </c:pt>
                <c:pt idx="78">
                  <c:v>3.3114132786947524E-4</c:v>
                </c:pt>
                <c:pt idx="79">
                  <c:v>3.3190462757031435E-4</c:v>
                </c:pt>
                <c:pt idx="80">
                  <c:v>3.3263539112725283E-4</c:v>
                </c:pt>
                <c:pt idx="81">
                  <c:v>3.3333715830649341E-4</c:v>
                </c:pt>
                <c:pt idx="82">
                  <c:v>3.3401359178043908E-4</c:v>
                </c:pt>
                <c:pt idx="83">
                  <c:v>3.3466847712769433E-4</c:v>
                </c:pt>
                <c:pt idx="84">
                  <c:v>3.3530572283306515E-4</c:v>
                </c:pt>
                <c:pt idx="85">
                  <c:v>3.3592936028755804E-4</c:v>
                </c:pt>
                <c:pt idx="86">
                  <c:v>3.3654354378838099E-4</c:v>
                </c:pt>
                <c:pt idx="87">
                  <c:v>3.3715255053894295E-4</c:v>
                </c:pt>
                <c:pt idx="88">
                  <c:v>3.3776078064885414E-4</c:v>
                </c:pt>
                <c:pt idx="89">
                  <c:v>3.3837275713392595E-4</c:v>
                </c:pt>
                <c:pt idx="90">
                  <c:v>3.3899312591617039E-4</c:v>
                </c:pt>
                <c:pt idx="91">
                  <c:v>3.3962665582380151E-4</c:v>
                </c:pt>
                <c:pt idx="92">
                  <c:v>3.4027823859123364E-4</c:v>
                </c:pt>
                <c:pt idx="93">
                  <c:v>3.4095288885908274E-4</c:v>
                </c:pt>
                <c:pt idx="94">
                  <c:v>3.4165574417416571E-4</c:v>
                </c:pt>
                <c:pt idx="95">
                  <c:v>3.4239206498950028E-4</c:v>
                </c:pt>
                <c:pt idx="96">
                  <c:v>3.4316723466430612E-4</c:v>
                </c:pt>
                <c:pt idx="97">
                  <c:v>3.4398675946400341E-4</c:v>
                </c:pt>
                <c:pt idx="98">
                  <c:v>3.4485626856021318E-4</c:v>
                </c:pt>
                <c:pt idx="99">
                  <c:v>3.4578151403075836E-4</c:v>
                </c:pt>
                <c:pt idx="100">
                  <c:v>3.4676837085966233E-4</c:v>
                </c:pt>
              </c:numCache>
            </c:numRef>
          </c:yVal>
          <c:smooth val="0"/>
          <c:extLst>
            <c:ext xmlns:c16="http://schemas.microsoft.com/office/drawing/2014/chart" uri="{C3380CC4-5D6E-409C-BE32-E72D297353CC}">
              <c16:uniqueId val="{00000001-228F-41EC-815A-9D2F838A7A73}"/>
            </c:ext>
          </c:extLst>
        </c:ser>
        <c:ser>
          <c:idx val="1"/>
          <c:order val="2"/>
          <c:tx>
            <c:v>要求条件での計算結果</c:v>
          </c:tx>
          <c:spPr>
            <a:ln w="19050" cap="rnd">
              <a:noFill/>
              <a:round/>
            </a:ln>
            <a:effectLst/>
          </c:spPr>
          <c:marker>
            <c:symbol val="x"/>
            <c:size val="8"/>
            <c:spPr>
              <a:noFill/>
              <a:ln w="9525">
                <a:solidFill>
                  <a:srgbClr val="FF0000"/>
                </a:solidFill>
              </a:ln>
              <a:effectLst/>
            </c:spPr>
          </c:marker>
          <c:xVal>
            <c:numRef>
              <c:f>E!$Z$16:$Z$25</c:f>
              <c:numCache>
                <c:formatCode>General</c:formatCode>
                <c:ptCount val="10"/>
                <c:pt idx="0">
                  <c:v>3.4201174766310598</c:v>
                </c:pt>
                <c:pt idx="1">
                  <c:v>4.9758672524677054</c:v>
                </c:pt>
                <c:pt idx="2">
                  <c:v>3.961307076098775</c:v>
                </c:pt>
                <c:pt idx="3">
                  <c:v>4.5375953822736079</c:v>
                </c:pt>
                <c:pt idx="4">
                  <c:v>3.8526788236873526</c:v>
                </c:pt>
                <c:pt idx="5">
                  <c:v>4.1918688533811812</c:v>
                </c:pt>
                <c:pt idx="6">
                  <c:v>3.6800674982426855</c:v>
                </c:pt>
                <c:pt idx="7">
                  <c:v>3.9136774113022961</c:v>
                </c:pt>
                <c:pt idx="8">
                  <c:v>3.5103050308955517</c:v>
                </c:pt>
                <c:pt idx="9">
                  <c:v>3.6848346742713982</c:v>
                </c:pt>
              </c:numCache>
            </c:numRef>
          </c:xVal>
          <c:yVal>
            <c:numRef>
              <c:f>E!$X$16:$X$25</c:f>
              <c:numCache>
                <c:formatCode>General</c:formatCode>
                <c:ptCount val="10"/>
                <c:pt idx="0">
                  <c:v>3.0832809101293652E-4</c:v>
                </c:pt>
                <c:pt idx="1">
                  <c:v>3.3731955195568655E-4</c:v>
                </c:pt>
                <c:pt idx="2">
                  <c:v>3.2278635135161142E-4</c:v>
                </c:pt>
                <c:pt idx="3">
                  <c:v>3.3231707451540345E-4</c:v>
                </c:pt>
                <c:pt idx="4">
                  <c:v>3.203783731523511E-4</c:v>
                </c:pt>
                <c:pt idx="5">
                  <c:v>3.2718868586776602E-4</c:v>
                </c:pt>
                <c:pt idx="6">
                  <c:v>3.160622159143027E-4</c:v>
                </c:pt>
                <c:pt idx="7">
                  <c:v>3.217585812530921E-4</c:v>
                </c:pt>
                <c:pt idx="8">
                  <c:v>3.1118681306554455E-4</c:v>
                </c:pt>
                <c:pt idx="9">
                  <c:v>3.1618988367988841E-4</c:v>
                </c:pt>
              </c:numCache>
            </c:numRef>
          </c:yVal>
          <c:smooth val="0"/>
          <c:extLst>
            <c:ext xmlns:c16="http://schemas.microsoft.com/office/drawing/2014/chart" uri="{C3380CC4-5D6E-409C-BE32-E72D297353CC}">
              <c16:uniqueId val="{00000002-228F-41EC-815A-9D2F838A7A73}"/>
            </c:ext>
          </c:extLst>
        </c:ser>
        <c:dLbls>
          <c:showLegendKey val="0"/>
          <c:showVal val="0"/>
          <c:showCatName val="0"/>
          <c:showSerName val="0"/>
          <c:showPercent val="0"/>
          <c:showBubbleSize val="0"/>
        </c:dLbls>
        <c:axId val="1866239839"/>
        <c:axId val="170578446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C</a:t>
                </a:r>
                <a:r>
                  <a:rPr lang="en-US" altLang="ja-JP" baseline="-25000"/>
                  <a:t>f</a:t>
                </a:r>
                <a:r>
                  <a:rPr lang="en-US" altLang="ja-JP"/>
                  <a:t>[-]</a:t>
                </a:r>
                <a:endParaRPr lang="ja-JP" altLang="en-US"/>
              </a:p>
            </c:rich>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C</a:t>
                </a:r>
                <a:r>
                  <a:rPr lang="en-US" altLang="ja-JP" baseline="-25000"/>
                  <a:t>W</a:t>
                </a:r>
                <a:r>
                  <a:rPr lang="en-US" altLang="ja-JP"/>
                  <a:t>[-]</a:t>
                </a:r>
                <a:endParaRPr lang="ja-JP" altLang="en-US"/>
              </a:p>
            </c:rich>
          </c:tx>
          <c:layout>
            <c:manualLayout>
              <c:xMode val="edge"/>
              <c:yMode val="edge"/>
              <c:x val="2.4939783761597713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spPr>
        <a:solidFill>
          <a:schemeClr val="bg1"/>
        </a:solidFill>
        <a:ln>
          <a:noFill/>
        </a:ln>
        <a:effectLst/>
      </c:spPr>
    </c:plotArea>
    <c:legend>
      <c:legendPos val="t"/>
      <c:layout>
        <c:manualLayout>
          <c:xMode val="edge"/>
          <c:yMode val="edge"/>
          <c:x val="0"/>
          <c:y val="8.23045267489712E-3"/>
          <c:w val="0.99917695473251034"/>
          <c:h val="7.53089660088785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1683154990242"/>
          <c:y val="8.410518129678235E-2"/>
          <c:w val="0.84605379455773155"/>
          <c:h val="0.74937591134441528"/>
        </c:manualLayout>
      </c:layout>
      <c:scatterChart>
        <c:scatterStyle val="lineMarker"/>
        <c:varyColors val="0"/>
        <c:ser>
          <c:idx val="0"/>
          <c:order val="0"/>
          <c:tx>
            <c:v>外挿区間</c:v>
          </c:tx>
          <c:spPr>
            <a:ln w="12700" cap="rnd">
              <a:solidFill>
                <a:schemeClr val="bg1">
                  <a:lumMod val="65000"/>
                </a:schemeClr>
              </a:solidFill>
              <a:prstDash val="sysDash"/>
              <a:round/>
            </a:ln>
            <a:effectLst/>
          </c:spPr>
          <c:marker>
            <c:symbol val="none"/>
          </c:marker>
          <c:xVal>
            <c:numRef>
              <c:f>'C3'!$AX$14:$AX$1014</c:f>
              <c:numCache>
                <c:formatCode>General</c:formatCode>
                <c:ptCount val="1001"/>
                <c:pt idx="0">
                  <c:v>-1.4017728303086421</c:v>
                </c:pt>
                <c:pt idx="1">
                  <c:v>-1.3165670308190125</c:v>
                </c:pt>
                <c:pt idx="2">
                  <c:v>-1.2313612313293829</c:v>
                </c:pt>
                <c:pt idx="3">
                  <c:v>-1.1461554318397531</c:v>
                </c:pt>
                <c:pt idx="4">
                  <c:v>-1.0609496323501235</c:v>
                </c:pt>
                <c:pt idx="5">
                  <c:v>-0.97574383286049393</c:v>
                </c:pt>
                <c:pt idx="6">
                  <c:v>-0.89053803337086435</c:v>
                </c:pt>
                <c:pt idx="7">
                  <c:v>-0.80533223388123465</c:v>
                </c:pt>
                <c:pt idx="8">
                  <c:v>-0.72012643439160506</c:v>
                </c:pt>
                <c:pt idx="9">
                  <c:v>-0.63492063490197548</c:v>
                </c:pt>
                <c:pt idx="10">
                  <c:v>-0.54971483541234578</c:v>
                </c:pt>
                <c:pt idx="11">
                  <c:v>-0.4645090359227162</c:v>
                </c:pt>
                <c:pt idx="12">
                  <c:v>-0.37930323643308661</c:v>
                </c:pt>
                <c:pt idx="13">
                  <c:v>-0.29409743694345702</c:v>
                </c:pt>
                <c:pt idx="14">
                  <c:v>-0.20889163745382722</c:v>
                </c:pt>
                <c:pt idx="15">
                  <c:v>-0.12368583796419763</c:v>
                </c:pt>
                <c:pt idx="16">
                  <c:v>-3.8480038474568046E-2</c:v>
                </c:pt>
                <c:pt idx="17">
                  <c:v>4.672576101506154E-2</c:v>
                </c:pt>
                <c:pt idx="18">
                  <c:v>0.13193156050469113</c:v>
                </c:pt>
                <c:pt idx="19">
                  <c:v>0.21713735999432093</c:v>
                </c:pt>
                <c:pt idx="20">
                  <c:v>0.30234315948395052</c:v>
                </c:pt>
                <c:pt idx="21">
                  <c:v>0.3875489589735801</c:v>
                </c:pt>
                <c:pt idx="22">
                  <c:v>0.47275475846320969</c:v>
                </c:pt>
                <c:pt idx="23">
                  <c:v>0.55796055795283928</c:v>
                </c:pt>
                <c:pt idx="24">
                  <c:v>0.64316635744246908</c:v>
                </c:pt>
                <c:pt idx="25">
                  <c:v>0.72837215693209889</c:v>
                </c:pt>
                <c:pt idx="26">
                  <c:v>0.81357795642172825</c:v>
                </c:pt>
                <c:pt idx="27">
                  <c:v>0.89878375591135806</c:v>
                </c:pt>
                <c:pt idx="28">
                  <c:v>0.98398955540098787</c:v>
                </c:pt>
                <c:pt idx="29">
                  <c:v>1.0691953548906172</c:v>
                </c:pt>
                <c:pt idx="30">
                  <c:v>1.154401154380247</c:v>
                </c:pt>
                <c:pt idx="31">
                  <c:v>1.2396069538698764</c:v>
                </c:pt>
                <c:pt idx="32">
                  <c:v>1.3248127533595062</c:v>
                </c:pt>
                <c:pt idx="33">
                  <c:v>1.410018552849136</c:v>
                </c:pt>
                <c:pt idx="34">
                  <c:v>1.4952243523387654</c:v>
                </c:pt>
                <c:pt idx="35">
                  <c:v>1.5804301518283952</c:v>
                </c:pt>
                <c:pt idx="36">
                  <c:v>1.6656359513180246</c:v>
                </c:pt>
                <c:pt idx="37">
                  <c:v>1.7508417508076544</c:v>
                </c:pt>
                <c:pt idx="38">
                  <c:v>1.8360475502972842</c:v>
                </c:pt>
                <c:pt idx="39">
                  <c:v>1.9212533497869135</c:v>
                </c:pt>
                <c:pt idx="40">
                  <c:v>2.0064591492765436</c:v>
                </c:pt>
                <c:pt idx="41">
                  <c:v>2.0916649487661729</c:v>
                </c:pt>
                <c:pt idx="42">
                  <c:v>2.1768707482558023</c:v>
                </c:pt>
                <c:pt idx="43">
                  <c:v>2.2620765477454325</c:v>
                </c:pt>
                <c:pt idx="44">
                  <c:v>2.3472823472350619</c:v>
                </c:pt>
                <c:pt idx="45">
                  <c:v>2.4324881467246913</c:v>
                </c:pt>
                <c:pt idx="46">
                  <c:v>2.5176939462143206</c:v>
                </c:pt>
                <c:pt idx="47">
                  <c:v>2.60289974570395</c:v>
                </c:pt>
                <c:pt idx="48">
                  <c:v>2.6881055451935794</c:v>
                </c:pt>
                <c:pt idx="49">
                  <c:v>2.7733113446832096</c:v>
                </c:pt>
                <c:pt idx="50">
                  <c:v>2.858517144172839</c:v>
                </c:pt>
                <c:pt idx="51">
                  <c:v>2.9437229436624683</c:v>
                </c:pt>
                <c:pt idx="52">
                  <c:v>3.0289287431520977</c:v>
                </c:pt>
                <c:pt idx="53">
                  <c:v>3.114134542641728</c:v>
                </c:pt>
                <c:pt idx="54">
                  <c:v>3.1993403421313573</c:v>
                </c:pt>
                <c:pt idx="55">
                  <c:v>3.2845461416209867</c:v>
                </c:pt>
                <c:pt idx="56">
                  <c:v>3.3697519411106169</c:v>
                </c:pt>
                <c:pt idx="57">
                  <c:v>3.4549577406002463</c:v>
                </c:pt>
                <c:pt idx="58">
                  <c:v>3.5401635400898757</c:v>
                </c:pt>
                <c:pt idx="59">
                  <c:v>3.6253693395795059</c:v>
                </c:pt>
                <c:pt idx="60">
                  <c:v>3.7105751390691353</c:v>
                </c:pt>
                <c:pt idx="61">
                  <c:v>3.7957809385587646</c:v>
                </c:pt>
                <c:pt idx="62">
                  <c:v>3.880986738048394</c:v>
                </c:pt>
                <c:pt idx="63">
                  <c:v>3.9661925375380243</c:v>
                </c:pt>
                <c:pt idx="64">
                  <c:v>4.0513983370276536</c:v>
                </c:pt>
                <c:pt idx="65">
                  <c:v>4.136604136517283</c:v>
                </c:pt>
                <c:pt idx="66">
                  <c:v>4.2218099360069132</c:v>
                </c:pt>
                <c:pt idx="67">
                  <c:v>4.3070157354965426</c:v>
                </c:pt>
                <c:pt idx="68">
                  <c:v>4.392221534986172</c:v>
                </c:pt>
                <c:pt idx="69">
                  <c:v>4.4774273344758013</c:v>
                </c:pt>
                <c:pt idx="70">
                  <c:v>4.5626331339654316</c:v>
                </c:pt>
                <c:pt idx="71">
                  <c:v>4.6478389334550609</c:v>
                </c:pt>
                <c:pt idx="72">
                  <c:v>4.7330447329446903</c:v>
                </c:pt>
                <c:pt idx="73">
                  <c:v>4.8182505324343206</c:v>
                </c:pt>
                <c:pt idx="74">
                  <c:v>4.9034563319239499</c:v>
                </c:pt>
                <c:pt idx="75">
                  <c:v>4.9886621314135793</c:v>
                </c:pt>
                <c:pt idx="76">
                  <c:v>5.0738679309032095</c:v>
                </c:pt>
                <c:pt idx="77">
                  <c:v>5.1590737303928389</c:v>
                </c:pt>
                <c:pt idx="78">
                  <c:v>5.2442795298824683</c:v>
                </c:pt>
                <c:pt idx="79">
                  <c:v>5.3294853293720976</c:v>
                </c:pt>
                <c:pt idx="80">
                  <c:v>5.4146911288617279</c:v>
                </c:pt>
                <c:pt idx="81">
                  <c:v>5.4998969283513572</c:v>
                </c:pt>
                <c:pt idx="82">
                  <c:v>5.5851027278409866</c:v>
                </c:pt>
                <c:pt idx="83">
                  <c:v>5.6703085273306169</c:v>
                </c:pt>
                <c:pt idx="84">
                  <c:v>5.7555143268202462</c:v>
                </c:pt>
                <c:pt idx="85">
                  <c:v>5.8407201263098756</c:v>
                </c:pt>
                <c:pt idx="86">
                  <c:v>5.9259259257995058</c:v>
                </c:pt>
                <c:pt idx="87">
                  <c:v>6.0111317252891352</c:v>
                </c:pt>
                <c:pt idx="88">
                  <c:v>6.0963375247787646</c:v>
                </c:pt>
                <c:pt idx="89">
                  <c:v>6.1815433242683939</c:v>
                </c:pt>
                <c:pt idx="90">
                  <c:v>6.2667491237580242</c:v>
                </c:pt>
                <c:pt idx="91">
                  <c:v>6.3519549232476535</c:v>
                </c:pt>
                <c:pt idx="92">
                  <c:v>6.4371607227372829</c:v>
                </c:pt>
                <c:pt idx="93">
                  <c:v>6.5223665222269132</c:v>
                </c:pt>
                <c:pt idx="94">
                  <c:v>6.6075723217165425</c:v>
                </c:pt>
                <c:pt idx="95">
                  <c:v>6.6927781212061728</c:v>
                </c:pt>
                <c:pt idx="96">
                  <c:v>6.7779839206958012</c:v>
                </c:pt>
                <c:pt idx="97">
                  <c:v>6.8631897201854315</c:v>
                </c:pt>
                <c:pt idx="98">
                  <c:v>6.9483955196750617</c:v>
                </c:pt>
                <c:pt idx="99">
                  <c:v>7.0336013191646902</c:v>
                </c:pt>
                <c:pt idx="100">
                  <c:v>7.1188071186543205</c:v>
                </c:pt>
              </c:numCache>
            </c:numRef>
          </c:xVal>
          <c:yVal>
            <c:numRef>
              <c:f>'C3'!$AW$14:$AW$1014</c:f>
              <c:numCache>
                <c:formatCode>General</c:formatCode>
                <c:ptCount val="1001"/>
                <c:pt idx="0">
                  <c:v>2.5253205954577622E-5</c:v>
                </c:pt>
                <c:pt idx="1">
                  <c:v>2.5401982147762176E-5</c:v>
                </c:pt>
                <c:pt idx="2">
                  <c:v>2.612808854927605E-5</c:v>
                </c:pt>
                <c:pt idx="3">
                  <c:v>2.7401057708206551E-5</c:v>
                </c:pt>
                <c:pt idx="4">
                  <c:v>2.9191044386284252E-5</c:v>
                </c:pt>
                <c:pt idx="5">
                  <c:v>3.1468825557882883E-5</c:v>
                </c:pt>
                <c:pt idx="6">
                  <c:v>3.4205800410019421E-5</c:v>
                </c:pt>
                <c:pt idx="7">
                  <c:v>3.7373990342354045E-5</c:v>
                </c:pt>
                <c:pt idx="8">
                  <c:v>4.0946038967190108E-5</c:v>
                </c:pt>
                <c:pt idx="9">
                  <c:v>4.4895212109474207E-5</c:v>
                </c:pt>
                <c:pt idx="10">
                  <c:v>4.919539780679613E-5</c:v>
                </c:pt>
                <c:pt idx="11">
                  <c:v>5.3821106309388869E-5</c:v>
                </c:pt>
                <c:pt idx="12">
                  <c:v>5.874747008012863E-5</c:v>
                </c:pt>
                <c:pt idx="13">
                  <c:v>6.3950243794534835E-5</c:v>
                </c:pt>
                <c:pt idx="14">
                  <c:v>6.9405804340770099E-5</c:v>
                </c:pt>
                <c:pt idx="15">
                  <c:v>7.5091150819640227E-5</c:v>
                </c:pt>
                <c:pt idx="16">
                  <c:v>8.098390454459429E-5</c:v>
                </c:pt>
                <c:pt idx="17">
                  <c:v>8.7062309041724504E-5</c:v>
                </c:pt>
                <c:pt idx="18">
                  <c:v>9.3305230049766307E-5</c:v>
                </c:pt>
                <c:pt idx="19">
                  <c:v>9.9692155520098407E-5</c:v>
                </c:pt>
                <c:pt idx="20">
                  <c:v>1.0620319561674261E-4</c:v>
                </c:pt>
                <c:pt idx="21">
                  <c:v>1.1281908271636401E-4</c:v>
                </c:pt>
                <c:pt idx="22">
                  <c:v>1.1952117140827089E-4</c:v>
                </c:pt>
                <c:pt idx="23">
                  <c:v>1.2629143849441472E-4</c:v>
                </c:pt>
                <c:pt idx="24">
                  <c:v>1.3311248298939019E-4</c:v>
                </c:pt>
                <c:pt idx="25">
                  <c:v>1.3996752612043526E-4</c:v>
                </c:pt>
                <c:pt idx="26">
                  <c:v>1.4684041132743091E-4</c:v>
                </c:pt>
                <c:pt idx="27">
                  <c:v>1.5371560426290158E-4</c:v>
                </c:pt>
                <c:pt idx="28">
                  <c:v>1.6057819279201473E-4</c:v>
                </c:pt>
                <c:pt idx="29">
                  <c:v>1.6741388699258107E-4</c:v>
                </c:pt>
                <c:pt idx="30">
                  <c:v>1.7420901915505459E-4</c:v>
                </c:pt>
                <c:pt idx="31">
                  <c:v>1.8095054378253238E-4</c:v>
                </c:pt>
                <c:pt idx="32">
                  <c:v>1.8762603759075487E-4</c:v>
                </c:pt>
                <c:pt idx="33">
                  <c:v>1.9422369950810556E-4</c:v>
                </c:pt>
                <c:pt idx="34">
                  <c:v>2.0073235067561118E-4</c:v>
                </c:pt>
                <c:pt idx="35">
                  <c:v>2.0714143444694176E-4</c:v>
                </c:pt>
                <c:pt idx="36">
                  <c:v>2.1344101638841044E-4</c:v>
                </c:pt>
                <c:pt idx="37">
                  <c:v>2.1962178427897366E-4</c:v>
                </c:pt>
                <c:pt idx="38">
                  <c:v>2.2567504811023097E-4</c:v>
                </c:pt>
                <c:pt idx="39">
                  <c:v>2.3159274008642517E-4</c:v>
                </c:pt>
                <c:pt idx="40">
                  <c:v>2.373674146244423E-4</c:v>
                </c:pt>
                <c:pt idx="41">
                  <c:v>2.4299224835381154E-4</c:v>
                </c:pt>
                <c:pt idx="42">
                  <c:v>2.4846104011670532E-4</c:v>
                </c:pt>
                <c:pt idx="43">
                  <c:v>2.5376821096793933E-4</c:v>
                </c:pt>
                <c:pt idx="44">
                  <c:v>2.5890880417497235E-4</c:v>
                </c:pt>
                <c:pt idx="45">
                  <c:v>2.6387848521790638E-4</c:v>
                </c:pt>
                <c:pt idx="46">
                  <c:v>2.6867354178948674E-4</c:v>
                </c:pt>
                <c:pt idx="47">
                  <c:v>2.7329088379510181E-4</c:v>
                </c:pt>
                <c:pt idx="48">
                  <c:v>2.7772804335278337E-4</c:v>
                </c:pt>
                <c:pt idx="49">
                  <c:v>2.8198317479320636E-4</c:v>
                </c:pt>
                <c:pt idx="50">
                  <c:v>2.8605505465968868E-4</c:v>
                </c:pt>
                <c:pt idx="51">
                  <c:v>2.8994308170819162E-4</c:v>
                </c:pt>
                <c:pt idx="52">
                  <c:v>2.9364727690731974E-4</c:v>
                </c:pt>
                <c:pt idx="53">
                  <c:v>2.9716828343832077E-4</c:v>
                </c:pt>
                <c:pt idx="54">
                  <c:v>3.0050736669508563E-4</c:v>
                </c:pt>
                <c:pt idx="55">
                  <c:v>3.036664142841484E-4</c:v>
                </c:pt>
                <c:pt idx="56">
                  <c:v>3.0664793602468637E-4</c:v>
                </c:pt>
                <c:pt idx="57">
                  <c:v>3.0945506394852013E-4</c:v>
                </c:pt>
                <c:pt idx="58">
                  <c:v>3.1209155230011332E-4</c:v>
                </c:pt>
                <c:pt idx="59">
                  <c:v>3.1456177753657314E-4</c:v>
                </c:pt>
                <c:pt idx="60">
                  <c:v>3.1687073832764942E-4</c:v>
                </c:pt>
                <c:pt idx="61">
                  <c:v>3.1902405555573563E-4</c:v>
                </c:pt>
                <c:pt idx="62">
                  <c:v>3.2102797231586843E-4</c:v>
                </c:pt>
                <c:pt idx="63">
                  <c:v>3.2288935391572759E-4</c:v>
                </c:pt>
                <c:pt idx="64">
                  <c:v>3.24615687875636E-4</c:v>
                </c:pt>
                <c:pt idx="65">
                  <c:v>3.2621508392855994E-4</c:v>
                </c:pt>
                <c:pt idx="66">
                  <c:v>3.2769627402010873E-4</c:v>
                </c:pt>
                <c:pt idx="67">
                  <c:v>3.29068612308535E-4</c:v>
                </c:pt>
                <c:pt idx="68">
                  <c:v>3.3034207516473464E-4</c:v>
                </c:pt>
                <c:pt idx="69">
                  <c:v>3.3152726117224645E-4</c:v>
                </c:pt>
                <c:pt idx="70">
                  <c:v>3.3263539112725283E-4</c:v>
                </c:pt>
                <c:pt idx="71">
                  <c:v>3.3367830803857936E-4</c:v>
                </c:pt>
                <c:pt idx="72">
                  <c:v>3.3466847712769433E-4</c:v>
                </c:pt>
                <c:pt idx="73">
                  <c:v>3.3561898582870988E-4</c:v>
                </c:pt>
                <c:pt idx="74">
                  <c:v>3.3654354378838099E-4</c:v>
                </c:pt>
                <c:pt idx="75">
                  <c:v>3.374564828661058E-4</c:v>
                </c:pt>
                <c:pt idx="76">
                  <c:v>3.3837275713392595E-4</c:v>
                </c:pt>
                <c:pt idx="77">
                  <c:v>3.3930794287652583E-4</c:v>
                </c:pt>
                <c:pt idx="78">
                  <c:v>3.4027823859123364E-4</c:v>
                </c:pt>
                <c:pt idx="79">
                  <c:v>3.4130046498802042E-4</c:v>
                </c:pt>
                <c:pt idx="80">
                  <c:v>3.4239206498950028E-4</c:v>
                </c:pt>
                <c:pt idx="81">
                  <c:v>3.4357110373093105E-4</c:v>
                </c:pt>
                <c:pt idx="82">
                  <c:v>3.4485626856021318E-4</c:v>
                </c:pt>
                <c:pt idx="83">
                  <c:v>3.4626686903789082E-4</c:v>
                </c:pt>
                <c:pt idx="84">
                  <c:v>3.4782283693715046E-4</c:v>
                </c:pt>
                <c:pt idx="85">
                  <c:v>3.4954472624382335E-4</c:v>
                </c:pt>
                <c:pt idx="86">
                  <c:v>3.514537131563822E-4</c:v>
                </c:pt>
                <c:pt idx="87">
                  <c:v>3.535715960859445E-4</c:v>
                </c:pt>
                <c:pt idx="88">
                  <c:v>3.5592079565626995E-4</c:v>
                </c:pt>
                <c:pt idx="89">
                  <c:v>3.585243547037613E-4</c:v>
                </c:pt>
                <c:pt idx="90">
                  <c:v>3.6140593827746557E-4</c:v>
                </c:pt>
                <c:pt idx="91">
                  <c:v>3.6458983363907174E-4</c:v>
                </c:pt>
                <c:pt idx="92">
                  <c:v>3.6810095026291339E-4</c:v>
                </c:pt>
                <c:pt idx="93">
                  <c:v>3.7196481983596552E-4</c:v>
                </c:pt>
                <c:pt idx="94">
                  <c:v>3.7620759625784782E-4</c:v>
                </c:pt>
                <c:pt idx="95">
                  <c:v>3.8085605564082262E-4</c:v>
                </c:pt>
                <c:pt idx="96">
                  <c:v>3.8593759630979585E-4</c:v>
                </c:pt>
                <c:pt idx="97">
                  <c:v>3.9148023880231618E-4</c:v>
                </c:pt>
                <c:pt idx="98">
                  <c:v>3.9751262586857543E-4</c:v>
                </c:pt>
                <c:pt idx="99">
                  <c:v>4.0406402247140883E-4</c:v>
                </c:pt>
                <c:pt idx="100">
                  <c:v>4.1116431578629522E-4</c:v>
                </c:pt>
              </c:numCache>
            </c:numRef>
          </c:yVal>
          <c:smooth val="0"/>
          <c:extLst>
            <c:ext xmlns:c16="http://schemas.microsoft.com/office/drawing/2014/chart" uri="{C3380CC4-5D6E-409C-BE32-E72D297353CC}">
              <c16:uniqueId val="{00000000-228F-41EC-815A-9D2F838A7A73}"/>
            </c:ext>
          </c:extLst>
        </c:ser>
        <c:ser>
          <c:idx val="2"/>
          <c:order val="1"/>
          <c:tx>
            <c:v>回帰曲線（サンプル範囲）</c:v>
          </c:tx>
          <c:spPr>
            <a:ln w="25400" cap="rnd">
              <a:solidFill>
                <a:schemeClr val="accent1"/>
              </a:solidFill>
              <a:round/>
            </a:ln>
            <a:effectLst/>
          </c:spPr>
          <c:marker>
            <c:symbol val="none"/>
          </c:marker>
          <c:xVal>
            <c:numRef>
              <c:f>'C3'!$BA$14:$BA$1014</c:f>
              <c:numCache>
                <c:formatCode>General</c:formatCode>
                <c:ptCount val="1001"/>
                <c:pt idx="0">
                  <c:v>1.832382785185185E-2</c:v>
                </c:pt>
                <c:pt idx="1">
                  <c:v>7.5127694178271601E-2</c:v>
                </c:pt>
                <c:pt idx="2">
                  <c:v>0.13193156050469135</c:v>
                </c:pt>
                <c:pt idx="3">
                  <c:v>0.18873542683111111</c:v>
                </c:pt>
                <c:pt idx="4">
                  <c:v>0.24553929315753087</c:v>
                </c:pt>
                <c:pt idx="5">
                  <c:v>0.30234315948395057</c:v>
                </c:pt>
                <c:pt idx="6">
                  <c:v>0.35914702581037034</c:v>
                </c:pt>
                <c:pt idx="7">
                  <c:v>0.4159508921367901</c:v>
                </c:pt>
                <c:pt idx="8">
                  <c:v>0.47275475846320986</c:v>
                </c:pt>
                <c:pt idx="9">
                  <c:v>0.52955862478962956</c:v>
                </c:pt>
                <c:pt idx="10">
                  <c:v>0.58636249111604932</c:v>
                </c:pt>
                <c:pt idx="11">
                  <c:v>0.64316635744246908</c:v>
                </c:pt>
                <c:pt idx="12">
                  <c:v>0.69997022376888884</c:v>
                </c:pt>
                <c:pt idx="13">
                  <c:v>0.7567740900953086</c:v>
                </c:pt>
                <c:pt idx="14">
                  <c:v>0.81357795642172837</c:v>
                </c:pt>
                <c:pt idx="15">
                  <c:v>0.87038182274814813</c:v>
                </c:pt>
                <c:pt idx="16">
                  <c:v>0.92718568907456789</c:v>
                </c:pt>
                <c:pt idx="17">
                  <c:v>0.98398955540098765</c:v>
                </c:pt>
                <c:pt idx="18">
                  <c:v>1.0407934217274073</c:v>
                </c:pt>
                <c:pt idx="19">
                  <c:v>1.0975972880538272</c:v>
                </c:pt>
                <c:pt idx="20">
                  <c:v>1.1544011543802468</c:v>
                </c:pt>
                <c:pt idx="21">
                  <c:v>1.2112050207066667</c:v>
                </c:pt>
                <c:pt idx="22">
                  <c:v>1.2680088870330863</c:v>
                </c:pt>
                <c:pt idx="23">
                  <c:v>1.3248127533595062</c:v>
                </c:pt>
                <c:pt idx="24">
                  <c:v>1.3816166196859259</c:v>
                </c:pt>
                <c:pt idx="25">
                  <c:v>1.4384204860123457</c:v>
                </c:pt>
                <c:pt idx="26">
                  <c:v>1.4952243523387654</c:v>
                </c:pt>
                <c:pt idx="27">
                  <c:v>1.5520282186651853</c:v>
                </c:pt>
                <c:pt idx="28">
                  <c:v>1.6088320849916049</c:v>
                </c:pt>
                <c:pt idx="29">
                  <c:v>1.6656359513180248</c:v>
                </c:pt>
                <c:pt idx="30">
                  <c:v>1.7224398176444444</c:v>
                </c:pt>
                <c:pt idx="31">
                  <c:v>1.7792436839708643</c:v>
                </c:pt>
                <c:pt idx="32">
                  <c:v>1.8360475502972839</c:v>
                </c:pt>
                <c:pt idx="33">
                  <c:v>1.8928514166237036</c:v>
                </c:pt>
                <c:pt idx="34">
                  <c:v>1.9496552829501235</c:v>
                </c:pt>
                <c:pt idx="35">
                  <c:v>2.0064591492765431</c:v>
                </c:pt>
                <c:pt idx="36">
                  <c:v>2.063263015602963</c:v>
                </c:pt>
                <c:pt idx="37">
                  <c:v>2.1200668819293829</c:v>
                </c:pt>
                <c:pt idx="38">
                  <c:v>2.1768707482558027</c:v>
                </c:pt>
                <c:pt idx="39">
                  <c:v>2.2336746145822226</c:v>
                </c:pt>
                <c:pt idx="40">
                  <c:v>2.290478480908642</c:v>
                </c:pt>
                <c:pt idx="41">
                  <c:v>2.3472823472350619</c:v>
                </c:pt>
                <c:pt idx="42">
                  <c:v>2.4040862135614818</c:v>
                </c:pt>
                <c:pt idx="43">
                  <c:v>2.4608900798879016</c:v>
                </c:pt>
                <c:pt idx="44">
                  <c:v>2.5176939462143211</c:v>
                </c:pt>
                <c:pt idx="45">
                  <c:v>2.5744978125407409</c:v>
                </c:pt>
                <c:pt idx="46">
                  <c:v>2.6313016788671608</c:v>
                </c:pt>
                <c:pt idx="47">
                  <c:v>2.6881055451935807</c:v>
                </c:pt>
                <c:pt idx="48">
                  <c:v>2.7449094115200001</c:v>
                </c:pt>
                <c:pt idx="49">
                  <c:v>2.80171327784642</c:v>
                </c:pt>
                <c:pt idx="50">
                  <c:v>2.8585171441728399</c:v>
                </c:pt>
                <c:pt idx="51">
                  <c:v>2.9153210104992593</c:v>
                </c:pt>
                <c:pt idx="52">
                  <c:v>2.9721248768256792</c:v>
                </c:pt>
                <c:pt idx="53">
                  <c:v>3.028928743152099</c:v>
                </c:pt>
                <c:pt idx="54">
                  <c:v>3.0857326094785189</c:v>
                </c:pt>
                <c:pt idx="55">
                  <c:v>3.1425364758049383</c:v>
                </c:pt>
                <c:pt idx="56">
                  <c:v>3.1993403421313582</c:v>
                </c:pt>
                <c:pt idx="57">
                  <c:v>3.2561442084577781</c:v>
                </c:pt>
                <c:pt idx="58">
                  <c:v>3.3129480747841979</c:v>
                </c:pt>
                <c:pt idx="59">
                  <c:v>3.3697519411106174</c:v>
                </c:pt>
                <c:pt idx="60">
                  <c:v>3.4265558074370372</c:v>
                </c:pt>
                <c:pt idx="61">
                  <c:v>3.4833596737634571</c:v>
                </c:pt>
                <c:pt idx="62">
                  <c:v>3.540163540089877</c:v>
                </c:pt>
                <c:pt idx="63">
                  <c:v>3.5969674064162964</c:v>
                </c:pt>
                <c:pt idx="64">
                  <c:v>3.6537712727427163</c:v>
                </c:pt>
                <c:pt idx="65">
                  <c:v>3.7105751390691362</c:v>
                </c:pt>
                <c:pt idx="66">
                  <c:v>3.7673790053955556</c:v>
                </c:pt>
                <c:pt idx="67">
                  <c:v>3.8241828717219755</c:v>
                </c:pt>
                <c:pt idx="68">
                  <c:v>3.8809867380483953</c:v>
                </c:pt>
                <c:pt idx="69">
                  <c:v>3.9377906043748152</c:v>
                </c:pt>
                <c:pt idx="70">
                  <c:v>3.9945944707012346</c:v>
                </c:pt>
                <c:pt idx="71">
                  <c:v>4.0513983370276545</c:v>
                </c:pt>
                <c:pt idx="72">
                  <c:v>4.1082022033540735</c:v>
                </c:pt>
                <c:pt idx="73">
                  <c:v>4.1650060696804934</c:v>
                </c:pt>
                <c:pt idx="74">
                  <c:v>4.2218099360069132</c:v>
                </c:pt>
                <c:pt idx="75">
                  <c:v>4.2786138023333331</c:v>
                </c:pt>
                <c:pt idx="76">
                  <c:v>4.335417668659753</c:v>
                </c:pt>
                <c:pt idx="77">
                  <c:v>4.3922215349861728</c:v>
                </c:pt>
                <c:pt idx="78">
                  <c:v>4.4490254013125927</c:v>
                </c:pt>
                <c:pt idx="79">
                  <c:v>4.5058292676390126</c:v>
                </c:pt>
                <c:pt idx="80">
                  <c:v>4.5626331339654316</c:v>
                </c:pt>
                <c:pt idx="81">
                  <c:v>4.6194370002918514</c:v>
                </c:pt>
                <c:pt idx="82">
                  <c:v>4.6762408666182713</c:v>
                </c:pt>
                <c:pt idx="83">
                  <c:v>4.7330447329446912</c:v>
                </c:pt>
                <c:pt idx="84">
                  <c:v>4.7898485992711111</c:v>
                </c:pt>
                <c:pt idx="85">
                  <c:v>4.8466524655975309</c:v>
                </c:pt>
                <c:pt idx="86">
                  <c:v>4.9034563319239508</c:v>
                </c:pt>
                <c:pt idx="87">
                  <c:v>4.9602601982503698</c:v>
                </c:pt>
                <c:pt idx="88">
                  <c:v>5.0170640645767897</c:v>
                </c:pt>
                <c:pt idx="89">
                  <c:v>5.0738679309032095</c:v>
                </c:pt>
                <c:pt idx="90">
                  <c:v>5.1306717972296294</c:v>
                </c:pt>
                <c:pt idx="91">
                  <c:v>5.1874756635560493</c:v>
                </c:pt>
                <c:pt idx="92">
                  <c:v>5.2442795298824691</c:v>
                </c:pt>
                <c:pt idx="93">
                  <c:v>5.301083396208889</c:v>
                </c:pt>
                <c:pt idx="94">
                  <c:v>5.3578872625353089</c:v>
                </c:pt>
                <c:pt idx="95">
                  <c:v>5.4146911288617279</c:v>
                </c:pt>
                <c:pt idx="96">
                  <c:v>5.4714949951881477</c:v>
                </c:pt>
                <c:pt idx="97">
                  <c:v>5.5282988615145676</c:v>
                </c:pt>
                <c:pt idx="98">
                  <c:v>5.5851027278409875</c:v>
                </c:pt>
                <c:pt idx="99">
                  <c:v>5.6419065941674074</c:v>
                </c:pt>
                <c:pt idx="100">
                  <c:v>5.6987104604938272</c:v>
                </c:pt>
              </c:numCache>
            </c:numRef>
          </c:xVal>
          <c:yVal>
            <c:numRef>
              <c:f>'C3'!$AZ$14:$AZ$1014</c:f>
              <c:numCache>
                <c:formatCode>General</c:formatCode>
                <c:ptCount val="1001"/>
                <c:pt idx="0">
                  <c:v>8.5016863732530608E-5</c:v>
                </c:pt>
                <c:pt idx="1">
                  <c:v>8.9126028842150212E-5</c:v>
                </c:pt>
                <c:pt idx="2">
                  <c:v>9.3305230049766334E-5</c:v>
                </c:pt>
                <c:pt idx="3">
                  <c:v>9.7548420437893276E-5</c:v>
                </c:pt>
                <c:pt idx="4">
                  <c:v>1.0184967599524651E-4</c:v>
                </c:pt>
                <c:pt idx="5">
                  <c:v>1.0620319561674261E-4</c:v>
                </c:pt>
                <c:pt idx="6">
                  <c:v>1.1060330110349931E-4</c:v>
                </c:pt>
                <c:pt idx="7">
                  <c:v>1.1504443716283541E-4</c:v>
                </c:pt>
                <c:pt idx="8">
                  <c:v>1.1952117140827089E-4</c:v>
                </c:pt>
                <c:pt idx="9">
                  <c:v>1.2402819435952686E-4</c:v>
                </c:pt>
                <c:pt idx="10">
                  <c:v>1.2856031944252549E-4</c:v>
                </c:pt>
                <c:pt idx="11">
                  <c:v>1.3311248298939019E-4</c:v>
                </c:pt>
                <c:pt idx="12">
                  <c:v>1.3767974423844543E-4</c:v>
                </c:pt>
                <c:pt idx="13">
                  <c:v>1.4225728533421675E-4</c:v>
                </c:pt>
                <c:pt idx="14">
                  <c:v>1.4684041132743091E-4</c:v>
                </c:pt>
                <c:pt idx="15">
                  <c:v>1.5142455017501578E-4</c:v>
                </c:pt>
                <c:pt idx="16">
                  <c:v>1.5600525274010035E-4</c:v>
                </c:pt>
                <c:pt idx="17">
                  <c:v>1.605781927920147E-4</c:v>
                </c:pt>
                <c:pt idx="18">
                  <c:v>1.6513916700629011E-4</c:v>
                </c:pt>
                <c:pt idx="19">
                  <c:v>1.6968409496465891E-4</c:v>
                </c:pt>
                <c:pt idx="20">
                  <c:v>1.7420901915505459E-4</c:v>
                </c:pt>
                <c:pt idx="21">
                  <c:v>1.7871010497161181E-4</c:v>
                </c:pt>
                <c:pt idx="22">
                  <c:v>1.8318364071466626E-4</c:v>
                </c:pt>
                <c:pt idx="23">
                  <c:v>1.8762603759075487E-4</c:v>
                </c:pt>
                <c:pt idx="24">
                  <c:v>1.920338297126156E-4</c:v>
                </c:pt>
                <c:pt idx="25">
                  <c:v>1.9640367409918765E-4</c:v>
                </c:pt>
                <c:pt idx="26">
                  <c:v>2.0073235067561118E-4</c:v>
                </c:pt>
                <c:pt idx="27">
                  <c:v>2.0501676227322764E-4</c:v>
                </c:pt>
                <c:pt idx="28">
                  <c:v>2.092539346295795E-4</c:v>
                </c:pt>
                <c:pt idx="29">
                  <c:v>2.1344101638841044E-4</c:v>
                </c:pt>
                <c:pt idx="30">
                  <c:v>2.1757527909966522E-4</c:v>
                </c:pt>
                <c:pt idx="31">
                  <c:v>2.2165411721948973E-4</c:v>
                </c:pt>
                <c:pt idx="32">
                  <c:v>2.2567504811023097E-4</c:v>
                </c:pt>
                <c:pt idx="33">
                  <c:v>2.2963571204043709E-4</c:v>
                </c:pt>
                <c:pt idx="34">
                  <c:v>2.3353387218485742E-4</c:v>
                </c:pt>
                <c:pt idx="35">
                  <c:v>2.3736741462444228E-4</c:v>
                </c:pt>
                <c:pt idx="36">
                  <c:v>2.4113434834634328E-4</c:v>
                </c:pt>
                <c:pt idx="37">
                  <c:v>2.4483280524391306E-4</c:v>
                </c:pt>
                <c:pt idx="38">
                  <c:v>2.4846104011670537E-4</c:v>
                </c:pt>
                <c:pt idx="39">
                  <c:v>2.5201743067047514E-4</c:v>
                </c:pt>
                <c:pt idx="40">
                  <c:v>2.5550047751717834E-4</c:v>
                </c:pt>
                <c:pt idx="41">
                  <c:v>2.5890880417497235E-4</c:v>
                </c:pt>
                <c:pt idx="42">
                  <c:v>2.6224115706821523E-4</c:v>
                </c:pt>
                <c:pt idx="43">
                  <c:v>2.6549640552746658E-4</c:v>
                </c:pt>
                <c:pt idx="44">
                  <c:v>2.6867354178948674E-4</c:v>
                </c:pt>
                <c:pt idx="45">
                  <c:v>2.7177168099723763E-4</c:v>
                </c:pt>
                <c:pt idx="46">
                  <c:v>2.7479006119988188E-4</c:v>
                </c:pt>
                <c:pt idx="47">
                  <c:v>2.7772804335278348E-4</c:v>
                </c:pt>
                <c:pt idx="48">
                  <c:v>2.8058511131750748E-4</c:v>
                </c:pt>
                <c:pt idx="49">
                  <c:v>2.8336087186182012E-4</c:v>
                </c:pt>
                <c:pt idx="50">
                  <c:v>2.8605505465968868E-4</c:v>
                </c:pt>
                <c:pt idx="51">
                  <c:v>2.886675122912816E-4</c:v>
                </c:pt>
                <c:pt idx="52">
                  <c:v>2.9119822024296839E-4</c:v>
                </c:pt>
                <c:pt idx="53">
                  <c:v>2.9364727690731984E-4</c:v>
                </c:pt>
                <c:pt idx="54">
                  <c:v>2.9601490358310768E-4</c:v>
                </c:pt>
                <c:pt idx="55">
                  <c:v>2.9830144447530493E-4</c:v>
                </c:pt>
                <c:pt idx="56">
                  <c:v>3.0050736669508569E-4</c:v>
                </c:pt>
                <c:pt idx="57">
                  <c:v>3.0263326025982515E-4</c:v>
                </c:pt>
                <c:pt idx="58">
                  <c:v>3.0467983809309956E-4</c:v>
                </c:pt>
                <c:pt idx="59">
                  <c:v>3.0664793602468642E-4</c:v>
                </c:pt>
                <c:pt idx="60">
                  <c:v>3.0853851279056437E-4</c:v>
                </c:pt>
                <c:pt idx="61">
                  <c:v>3.1035265003291309E-4</c:v>
                </c:pt>
                <c:pt idx="62">
                  <c:v>3.1209155230011343E-4</c:v>
                </c:pt>
                <c:pt idx="63">
                  <c:v>3.1375654704674731E-4</c:v>
                </c:pt>
                <c:pt idx="64">
                  <c:v>3.1534908463359791E-4</c:v>
                </c:pt>
                <c:pt idx="65">
                  <c:v>3.1687073832764942E-4</c:v>
                </c:pt>
                <c:pt idx="66">
                  <c:v>3.183232043020871E-4</c:v>
                </c:pt>
                <c:pt idx="67">
                  <c:v>3.1970830163629768E-4</c:v>
                </c:pt>
                <c:pt idx="68">
                  <c:v>3.2102797231586849E-4</c:v>
                </c:pt>
                <c:pt idx="69">
                  <c:v>3.2228428123258837E-4</c:v>
                </c:pt>
                <c:pt idx="70">
                  <c:v>3.2347941618444736E-4</c:v>
                </c:pt>
                <c:pt idx="71">
                  <c:v>3.24615687875636E-4</c:v>
                </c:pt>
                <c:pt idx="72">
                  <c:v>3.2569552991654693E-4</c:v>
                </c:pt>
                <c:pt idx="73">
                  <c:v>3.2672149882377285E-4</c:v>
                </c:pt>
                <c:pt idx="74">
                  <c:v>3.2769627402010873E-4</c:v>
                </c:pt>
                <c:pt idx="75">
                  <c:v>3.2862265783454962E-4</c:v>
                </c:pt>
                <c:pt idx="76">
                  <c:v>3.2950357550229239E-4</c:v>
                </c:pt>
                <c:pt idx="77">
                  <c:v>3.3034207516473464E-4</c:v>
                </c:pt>
                <c:pt idx="78">
                  <c:v>3.3114132786947524E-4</c:v>
                </c:pt>
                <c:pt idx="79">
                  <c:v>3.3190462757031435E-4</c:v>
                </c:pt>
                <c:pt idx="80">
                  <c:v>3.3263539112725283E-4</c:v>
                </c:pt>
                <c:pt idx="81">
                  <c:v>3.3333715830649341E-4</c:v>
                </c:pt>
                <c:pt idx="82">
                  <c:v>3.3401359178043908E-4</c:v>
                </c:pt>
                <c:pt idx="83">
                  <c:v>3.3466847712769433E-4</c:v>
                </c:pt>
                <c:pt idx="84">
                  <c:v>3.3530572283306515E-4</c:v>
                </c:pt>
                <c:pt idx="85">
                  <c:v>3.3592936028755804E-4</c:v>
                </c:pt>
                <c:pt idx="86">
                  <c:v>3.3654354378838099E-4</c:v>
                </c:pt>
                <c:pt idx="87">
                  <c:v>3.3715255053894295E-4</c:v>
                </c:pt>
                <c:pt idx="88">
                  <c:v>3.3776078064885414E-4</c:v>
                </c:pt>
                <c:pt idx="89">
                  <c:v>3.3837275713392595E-4</c:v>
                </c:pt>
                <c:pt idx="90">
                  <c:v>3.3899312591617039E-4</c:v>
                </c:pt>
                <c:pt idx="91">
                  <c:v>3.3962665582380151E-4</c:v>
                </c:pt>
                <c:pt idx="92">
                  <c:v>3.4027823859123364E-4</c:v>
                </c:pt>
                <c:pt idx="93">
                  <c:v>3.4095288885908274E-4</c:v>
                </c:pt>
                <c:pt idx="94">
                  <c:v>3.4165574417416571E-4</c:v>
                </c:pt>
                <c:pt idx="95">
                  <c:v>3.4239206498950028E-4</c:v>
                </c:pt>
                <c:pt idx="96">
                  <c:v>3.4316723466430612E-4</c:v>
                </c:pt>
                <c:pt idx="97">
                  <c:v>3.4398675946400341E-4</c:v>
                </c:pt>
                <c:pt idx="98">
                  <c:v>3.4485626856021318E-4</c:v>
                </c:pt>
                <c:pt idx="99">
                  <c:v>3.4578151403075836E-4</c:v>
                </c:pt>
                <c:pt idx="100">
                  <c:v>3.4676837085966233E-4</c:v>
                </c:pt>
              </c:numCache>
            </c:numRef>
          </c:yVal>
          <c:smooth val="0"/>
          <c:extLst>
            <c:ext xmlns:c16="http://schemas.microsoft.com/office/drawing/2014/chart" uri="{C3380CC4-5D6E-409C-BE32-E72D297353CC}">
              <c16:uniqueId val="{00000001-228F-41EC-815A-9D2F838A7A73}"/>
            </c:ext>
          </c:extLst>
        </c:ser>
        <c:ser>
          <c:idx val="1"/>
          <c:order val="2"/>
          <c:tx>
            <c:v>要求条件での計算結果</c:v>
          </c:tx>
          <c:spPr>
            <a:ln w="19050" cap="rnd">
              <a:noFill/>
              <a:round/>
            </a:ln>
            <a:effectLst/>
          </c:spPr>
          <c:marker>
            <c:symbol val="x"/>
            <c:size val="8"/>
            <c:spPr>
              <a:noFill/>
              <a:ln w="9525">
                <a:solidFill>
                  <a:srgbClr val="FF0000"/>
                </a:solidFill>
              </a:ln>
              <a:effectLst/>
            </c:spPr>
          </c:marker>
          <c:xVal>
            <c:numRef>
              <c:f>E!$AL$16:$AL$25</c:f>
              <c:numCache>
                <c:formatCode>General</c:formatCode>
                <c:ptCount val="10"/>
                <c:pt idx="0">
                  <c:v>3.4201174766310598</c:v>
                </c:pt>
                <c:pt idx="1">
                  <c:v>4.9758672524677054</c:v>
                </c:pt>
                <c:pt idx="2">
                  <c:v>3.961307076098775</c:v>
                </c:pt>
                <c:pt idx="3">
                  <c:v>4.5375953822736079</c:v>
                </c:pt>
                <c:pt idx="4">
                  <c:v>3.8526788236873526</c:v>
                </c:pt>
                <c:pt idx="5">
                  <c:v>4.1918688533811812</c:v>
                </c:pt>
                <c:pt idx="6">
                  <c:v>3.6800674982426855</c:v>
                </c:pt>
                <c:pt idx="7">
                  <c:v>3.9136774113022961</c:v>
                </c:pt>
                <c:pt idx="8">
                  <c:v>3.5103050308955517</c:v>
                </c:pt>
                <c:pt idx="9">
                  <c:v>3.6848346742713982</c:v>
                </c:pt>
              </c:numCache>
            </c:numRef>
          </c:xVal>
          <c:yVal>
            <c:numRef>
              <c:f>E!$AG$16:$AG$25</c:f>
              <c:numCache>
                <c:formatCode>General</c:formatCode>
                <c:ptCount val="10"/>
                <c:pt idx="0">
                  <c:v>1.8787833838721416E-2</c:v>
                </c:pt>
                <c:pt idx="1">
                  <c:v>2.0477696835260736E-2</c:v>
                </c:pt>
                <c:pt idx="2">
                  <c:v>1.9694493307047024E-2</c:v>
                </c:pt>
                <c:pt idx="3">
                  <c:v>2.0197266142412462E-2</c:v>
                </c:pt>
                <c:pt idx="4">
                  <c:v>1.9553023702627865E-2</c:v>
                </c:pt>
                <c:pt idx="5">
                  <c:v>1.9938139746320437E-2</c:v>
                </c:pt>
                <c:pt idx="6">
                  <c:v>1.9288028033551331E-2</c:v>
                </c:pt>
                <c:pt idx="7">
                  <c:v>1.9634748306216556E-2</c:v>
                </c:pt>
                <c:pt idx="8">
                  <c:v>1.8975599790783601E-2</c:v>
                </c:pt>
                <c:pt idx="9">
                  <c:v>1.929604422836239E-2</c:v>
                </c:pt>
              </c:numCache>
            </c:numRef>
          </c:yVal>
          <c:smooth val="0"/>
          <c:extLst>
            <c:ext xmlns:c16="http://schemas.microsoft.com/office/drawing/2014/chart" uri="{C3380CC4-5D6E-409C-BE32-E72D297353CC}">
              <c16:uniqueId val="{00000002-228F-41EC-815A-9D2F838A7A73}"/>
            </c:ext>
          </c:extLst>
        </c:ser>
        <c:dLbls>
          <c:showLegendKey val="0"/>
          <c:showVal val="0"/>
          <c:showCatName val="0"/>
          <c:showSerName val="0"/>
          <c:showPercent val="0"/>
          <c:showBubbleSize val="0"/>
        </c:dLbls>
        <c:axId val="1866239839"/>
        <c:axId val="170578446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C</a:t>
                </a:r>
                <a:r>
                  <a:rPr lang="en-US" altLang="ja-JP" baseline="-25000"/>
                  <a:t>f</a:t>
                </a:r>
                <a:r>
                  <a:rPr lang="en-US" altLang="ja-JP"/>
                  <a:t>[-]</a:t>
                </a:r>
                <a:endParaRPr lang="ja-JP" altLang="en-US"/>
              </a:p>
            </c:rich>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C</a:t>
                </a:r>
                <a:r>
                  <a:rPr lang="en-US" altLang="ja-JP" baseline="-25000"/>
                  <a:t>W</a:t>
                </a:r>
                <a:r>
                  <a:rPr lang="en-US" altLang="ja-JP"/>
                  <a:t>[-]</a:t>
                </a:r>
                <a:endParaRPr lang="ja-JP" altLang="en-US"/>
              </a:p>
            </c:rich>
          </c:tx>
          <c:layout>
            <c:manualLayout>
              <c:xMode val="edge"/>
              <c:yMode val="edge"/>
              <c:x val="2.4939783761597713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spPr>
        <a:solidFill>
          <a:schemeClr val="bg1"/>
        </a:solidFill>
        <a:ln>
          <a:noFill/>
        </a:ln>
        <a:effectLst/>
      </c:spPr>
    </c:plotArea>
    <c:legend>
      <c:legendPos val="t"/>
      <c:layout>
        <c:manualLayout>
          <c:xMode val="edge"/>
          <c:yMode val="edge"/>
          <c:x val="0"/>
          <c:y val="8.23045267489712E-3"/>
          <c:w val="0.99917695473251034"/>
          <c:h val="7.53089660088785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1681418417358"/>
          <c:y val="8.410518129678235E-2"/>
          <c:w val="0.84469706430116209"/>
          <c:h val="0.74937591134441528"/>
        </c:manualLayout>
      </c:layout>
      <c:scatterChart>
        <c:scatterStyle val="lineMarker"/>
        <c:varyColors val="0"/>
        <c:ser>
          <c:idx val="0"/>
          <c:order val="0"/>
          <c:tx>
            <c:v>外挿区間</c:v>
          </c:tx>
          <c:spPr>
            <a:ln w="12700" cap="rnd">
              <a:solidFill>
                <a:schemeClr val="bg1">
                  <a:lumMod val="65000"/>
                </a:schemeClr>
              </a:solidFill>
              <a:prstDash val="sysDash"/>
              <a:round/>
            </a:ln>
            <a:effectLst/>
          </c:spPr>
          <c:marker>
            <c:symbol val="none"/>
          </c:marker>
          <c:xVal>
            <c:numRef>
              <c:f>'C2'!$AX$14:$AX$1013</c:f>
              <c:numCache>
                <c:formatCode>General</c:formatCode>
                <c:ptCount val="1000"/>
                <c:pt idx="0">
                  <c:v>-1.4200966583333334</c:v>
                </c:pt>
                <c:pt idx="1">
                  <c:v>-1.3348908588333335</c:v>
                </c:pt>
                <c:pt idx="2">
                  <c:v>-1.2496850593333335</c:v>
                </c:pt>
                <c:pt idx="3">
                  <c:v>-1.1644792598333336</c:v>
                </c:pt>
                <c:pt idx="4">
                  <c:v>-1.0792734603333334</c:v>
                </c:pt>
                <c:pt idx="5">
                  <c:v>-0.99406766083333342</c:v>
                </c:pt>
                <c:pt idx="6">
                  <c:v>-0.90886186133333347</c:v>
                </c:pt>
                <c:pt idx="7">
                  <c:v>-0.8236560618333334</c:v>
                </c:pt>
                <c:pt idx="8">
                  <c:v>-0.73845026233333344</c:v>
                </c:pt>
                <c:pt idx="9">
                  <c:v>-0.65324446283333348</c:v>
                </c:pt>
                <c:pt idx="10">
                  <c:v>-0.56803866333333342</c:v>
                </c:pt>
                <c:pt idx="11">
                  <c:v>-0.48283286383333346</c:v>
                </c:pt>
                <c:pt idx="12">
                  <c:v>-0.3976270643333335</c:v>
                </c:pt>
                <c:pt idx="13">
                  <c:v>-0.31242126483333355</c:v>
                </c:pt>
                <c:pt idx="14">
                  <c:v>-0.22721546533333337</c:v>
                </c:pt>
                <c:pt idx="15">
                  <c:v>-0.14200966583333341</c:v>
                </c:pt>
                <c:pt idx="16">
                  <c:v>-5.6803866333333453E-2</c:v>
                </c:pt>
                <c:pt idx="17">
                  <c:v>2.8401933166666504E-2</c:v>
                </c:pt>
                <c:pt idx="18">
                  <c:v>0.11360773266666646</c:v>
                </c:pt>
                <c:pt idx="19">
                  <c:v>0.19881353216666664</c:v>
                </c:pt>
                <c:pt idx="20">
                  <c:v>0.2840193316666666</c:v>
                </c:pt>
                <c:pt idx="21">
                  <c:v>0.36922513116666655</c:v>
                </c:pt>
                <c:pt idx="22">
                  <c:v>0.45443093066666651</c:v>
                </c:pt>
                <c:pt idx="23">
                  <c:v>0.53963673016666647</c:v>
                </c:pt>
                <c:pt idx="24">
                  <c:v>0.62484252966666642</c:v>
                </c:pt>
                <c:pt idx="25">
                  <c:v>0.7100483291666666</c:v>
                </c:pt>
                <c:pt idx="26">
                  <c:v>0.79525412866666634</c:v>
                </c:pt>
                <c:pt idx="27">
                  <c:v>0.88045992816666652</c:v>
                </c:pt>
                <c:pt idx="28">
                  <c:v>0.9656657276666667</c:v>
                </c:pt>
                <c:pt idx="29">
                  <c:v>1.0508715271666664</c:v>
                </c:pt>
                <c:pt idx="30">
                  <c:v>1.1360773266666666</c:v>
                </c:pt>
                <c:pt idx="31">
                  <c:v>1.2212831261666663</c:v>
                </c:pt>
                <c:pt idx="32">
                  <c:v>1.3064889256666665</c:v>
                </c:pt>
                <c:pt idx="33">
                  <c:v>1.3916947251666667</c:v>
                </c:pt>
                <c:pt idx="34">
                  <c:v>1.4769005246666664</c:v>
                </c:pt>
                <c:pt idx="35">
                  <c:v>1.5621063241666666</c:v>
                </c:pt>
                <c:pt idx="36">
                  <c:v>1.6473121236666664</c:v>
                </c:pt>
                <c:pt idx="37">
                  <c:v>1.7325179231666665</c:v>
                </c:pt>
                <c:pt idx="38">
                  <c:v>1.8177237226666667</c:v>
                </c:pt>
                <c:pt idx="39">
                  <c:v>1.9029295221666664</c:v>
                </c:pt>
                <c:pt idx="40">
                  <c:v>1.9881353216666666</c:v>
                </c:pt>
                <c:pt idx="41">
                  <c:v>2.0733411211666661</c:v>
                </c:pt>
                <c:pt idx="42">
                  <c:v>2.1585469206666668</c:v>
                </c:pt>
                <c:pt idx="43">
                  <c:v>2.2437527201666665</c:v>
                </c:pt>
                <c:pt idx="44">
                  <c:v>2.3289585196666662</c:v>
                </c:pt>
                <c:pt idx="45">
                  <c:v>2.4141643191666668</c:v>
                </c:pt>
                <c:pt idx="46">
                  <c:v>2.4993701186666666</c:v>
                </c:pt>
                <c:pt idx="47">
                  <c:v>2.5845759181666663</c:v>
                </c:pt>
                <c:pt idx="48">
                  <c:v>2.6697817176666661</c:v>
                </c:pt>
                <c:pt idx="49">
                  <c:v>2.7549875171666667</c:v>
                </c:pt>
                <c:pt idx="50">
                  <c:v>2.8401933166666664</c:v>
                </c:pt>
                <c:pt idx="51">
                  <c:v>2.9253991161666661</c:v>
                </c:pt>
                <c:pt idx="52">
                  <c:v>3.0106049156666659</c:v>
                </c:pt>
                <c:pt idx="53">
                  <c:v>3.0958107151666665</c:v>
                </c:pt>
                <c:pt idx="54">
                  <c:v>3.1810165146666662</c:v>
                </c:pt>
                <c:pt idx="55">
                  <c:v>3.266222314166666</c:v>
                </c:pt>
                <c:pt idx="56">
                  <c:v>3.3514281136666666</c:v>
                </c:pt>
                <c:pt idx="57">
                  <c:v>3.4366339131666663</c:v>
                </c:pt>
                <c:pt idx="58">
                  <c:v>3.5218397126666661</c:v>
                </c:pt>
                <c:pt idx="59">
                  <c:v>3.6070455121666667</c:v>
                </c:pt>
                <c:pt idx="60">
                  <c:v>3.6922513116666664</c:v>
                </c:pt>
                <c:pt idx="61">
                  <c:v>3.7774571111666662</c:v>
                </c:pt>
                <c:pt idx="62">
                  <c:v>3.8626629106666659</c:v>
                </c:pt>
                <c:pt idx="63">
                  <c:v>3.9478687101666665</c:v>
                </c:pt>
                <c:pt idx="64">
                  <c:v>4.0330745096666663</c:v>
                </c:pt>
                <c:pt idx="65">
                  <c:v>4.118280309166666</c:v>
                </c:pt>
                <c:pt idx="66">
                  <c:v>4.2034861086666666</c:v>
                </c:pt>
                <c:pt idx="67">
                  <c:v>4.2886919081666663</c:v>
                </c:pt>
                <c:pt idx="68">
                  <c:v>4.3738977076666661</c:v>
                </c:pt>
                <c:pt idx="69">
                  <c:v>4.4591035071666658</c:v>
                </c:pt>
                <c:pt idx="70">
                  <c:v>4.5443093066666664</c:v>
                </c:pt>
                <c:pt idx="71">
                  <c:v>4.6295151061666662</c:v>
                </c:pt>
                <c:pt idx="72">
                  <c:v>4.7147209056666659</c:v>
                </c:pt>
                <c:pt idx="73">
                  <c:v>4.7999267051666665</c:v>
                </c:pt>
                <c:pt idx="74">
                  <c:v>4.8851325046666663</c:v>
                </c:pt>
                <c:pt idx="75">
                  <c:v>4.970338304166666</c:v>
                </c:pt>
                <c:pt idx="76">
                  <c:v>5.0555441036666666</c:v>
                </c:pt>
                <c:pt idx="77">
                  <c:v>5.1407499031666664</c:v>
                </c:pt>
                <c:pt idx="78">
                  <c:v>5.2259557026666661</c:v>
                </c:pt>
                <c:pt idx="79">
                  <c:v>5.3111615021666658</c:v>
                </c:pt>
                <c:pt idx="80">
                  <c:v>5.3963673016666664</c:v>
                </c:pt>
                <c:pt idx="81">
                  <c:v>5.4815731011666662</c:v>
                </c:pt>
                <c:pt idx="82">
                  <c:v>5.5667789006666659</c:v>
                </c:pt>
                <c:pt idx="83">
                  <c:v>5.6519847001666665</c:v>
                </c:pt>
                <c:pt idx="84">
                  <c:v>5.7371904996666663</c:v>
                </c:pt>
                <c:pt idx="85">
                  <c:v>5.822396299166666</c:v>
                </c:pt>
                <c:pt idx="86">
                  <c:v>5.9076020986666666</c:v>
                </c:pt>
                <c:pt idx="87">
                  <c:v>5.9928078981666664</c:v>
                </c:pt>
                <c:pt idx="88">
                  <c:v>6.0780136976666661</c:v>
                </c:pt>
                <c:pt idx="89">
                  <c:v>6.1632194971666658</c:v>
                </c:pt>
                <c:pt idx="90">
                  <c:v>6.2484252966666665</c:v>
                </c:pt>
                <c:pt idx="91">
                  <c:v>6.3336310961666662</c:v>
                </c:pt>
                <c:pt idx="92">
                  <c:v>6.4188368956666659</c:v>
                </c:pt>
                <c:pt idx="93">
                  <c:v>6.5040426951666666</c:v>
                </c:pt>
                <c:pt idx="94">
                  <c:v>6.5892484946666663</c:v>
                </c:pt>
                <c:pt idx="95">
                  <c:v>6.6744542941666669</c:v>
                </c:pt>
                <c:pt idx="96">
                  <c:v>6.7596600936666658</c:v>
                </c:pt>
                <c:pt idx="97">
                  <c:v>6.8448658931666664</c:v>
                </c:pt>
                <c:pt idx="98">
                  <c:v>6.930071692666667</c:v>
                </c:pt>
                <c:pt idx="99">
                  <c:v>7.0152774921666659</c:v>
                </c:pt>
                <c:pt idx="100">
                  <c:v>7.1004832916666665</c:v>
                </c:pt>
              </c:numCache>
            </c:numRef>
          </c:xVal>
          <c:yVal>
            <c:numRef>
              <c:f>'C2'!$AW$14:$AW$1013</c:f>
              <c:numCache>
                <c:formatCode>General</c:formatCode>
                <c:ptCount val="1000"/>
                <c:pt idx="0">
                  <c:v>-2.1724989861495265</c:v>
                </c:pt>
                <c:pt idx="1">
                  <c:v>-1.9743045340339975</c:v>
                </c:pt>
                <c:pt idx="2">
                  <c:v>-1.7866512597024851</c:v>
                </c:pt>
                <c:pt idx="3">
                  <c:v>-1.6091532331109755</c:v>
                </c:pt>
                <c:pt idx="4">
                  <c:v>-1.4414318223941247</c:v>
                </c:pt>
                <c:pt idx="5">
                  <c:v>-1.283115693865261</c:v>
                </c:pt>
                <c:pt idx="6">
                  <c:v>-1.1338408120163814</c:v>
                </c:pt>
                <c:pt idx="7">
                  <c:v>-0.99325043951815362</c:v>
                </c:pt>
                <c:pt idx="8">
                  <c:v>-0.8609951372199165</c:v>
                </c:pt>
                <c:pt idx="9">
                  <c:v>-0.73673276414967892</c:v>
                </c:pt>
                <c:pt idx="10">
                  <c:v>-0.62012847751411992</c:v>
                </c:pt>
                <c:pt idx="11">
                  <c:v>-0.51085473269858972</c:v>
                </c:pt>
                <c:pt idx="12">
                  <c:v>-0.40859128326710803</c:v>
                </c:pt>
                <c:pt idx="13">
                  <c:v>-0.3130251809623657</c:v>
                </c:pt>
                <c:pt idx="14">
                  <c:v>-0.22385077570572359</c:v>
                </c:pt>
                <c:pt idx="15">
                  <c:v>-0.14076971559721357</c:v>
                </c:pt>
                <c:pt idx="16">
                  <c:v>-6.3490946915537402E-2</c:v>
                </c:pt>
                <c:pt idx="17">
                  <c:v>8.2692858819325837E-3</c:v>
                </c:pt>
                <c:pt idx="18">
                  <c:v>7.4787440159153562E-2</c:v>
                </c:pt>
                <c:pt idx="19">
                  <c:v>0.13633267510141245</c:v>
                </c:pt>
                <c:pt idx="20">
                  <c:v>0.19316685171532527</c:v>
                </c:pt>
                <c:pt idx="21">
                  <c:v>0.24554453282883804</c:v>
                </c:pt>
                <c:pt idx="22">
                  <c:v>0.29371298309122629</c:v>
                </c:pt>
                <c:pt idx="23">
                  <c:v>0.33791216897309495</c:v>
                </c:pt>
                <c:pt idx="24">
                  <c:v>0.3783747587663786</c:v>
                </c:pt>
                <c:pt idx="25">
                  <c:v>0.41532612258434154</c:v>
                </c:pt>
                <c:pt idx="26">
                  <c:v>0.4489843323615772</c:v>
                </c:pt>
                <c:pt idx="27">
                  <c:v>0.47956016185400918</c:v>
                </c:pt>
                <c:pt idx="28">
                  <c:v>0.50725708663889013</c:v>
                </c:pt>
                <c:pt idx="29">
                  <c:v>0.53227128411480229</c:v>
                </c:pt>
                <c:pt idx="30">
                  <c:v>0.55479163350165805</c:v>
                </c:pt>
                <c:pt idx="31">
                  <c:v>0.57499971584069853</c:v>
                </c:pt>
                <c:pt idx="32">
                  <c:v>0.59306981399449499</c:v>
                </c:pt>
                <c:pt idx="33">
                  <c:v>0.60916891264694839</c:v>
                </c:pt>
                <c:pt idx="34">
                  <c:v>0.62345669830328831</c:v>
                </c:pt>
                <c:pt idx="35">
                  <c:v>0.63608555929007515</c:v>
                </c:pt>
                <c:pt idx="36">
                  <c:v>0.6472005857551979</c:v>
                </c:pt>
                <c:pt idx="37">
                  <c:v>0.65693956966787592</c:v>
                </c:pt>
                <c:pt idx="38">
                  <c:v>0.66543300481865697</c:v>
                </c:pt>
                <c:pt idx="39">
                  <c:v>0.67280408681941939</c:v>
                </c:pt>
                <c:pt idx="40">
                  <c:v>0.67916871310337135</c:v>
                </c:pt>
                <c:pt idx="41">
                  <c:v>0.68463548292504961</c:v>
                </c:pt>
                <c:pt idx="42">
                  <c:v>0.68930569736032044</c:v>
                </c:pt>
                <c:pt idx="43">
                  <c:v>0.69327335930638112</c:v>
                </c:pt>
                <c:pt idx="44">
                  <c:v>0.69662517348175657</c:v>
                </c:pt>
                <c:pt idx="45">
                  <c:v>0.69944054642630249</c:v>
                </c:pt>
                <c:pt idx="46">
                  <c:v>0.70179158650120477</c:v>
                </c:pt>
                <c:pt idx="47">
                  <c:v>0.70374310388897632</c:v>
                </c:pt>
                <c:pt idx="48">
                  <c:v>0.70535261059346266</c:v>
                </c:pt>
                <c:pt idx="49">
                  <c:v>0.70667032043983746</c:v>
                </c:pt>
                <c:pt idx="50">
                  <c:v>0.70773914907460256</c:v>
                </c:pt>
                <c:pt idx="51">
                  <c:v>0.70859471396559259</c:v>
                </c:pt>
                <c:pt idx="52">
                  <c:v>0.70926533440196837</c:v>
                </c:pt>
                <c:pt idx="53">
                  <c:v>0.70977203149422374</c:v>
                </c:pt>
                <c:pt idx="54">
                  <c:v>0.71012852817417804</c:v>
                </c:pt>
                <c:pt idx="55">
                  <c:v>0.7103412491949832</c:v>
                </c:pt>
                <c:pt idx="56">
                  <c:v>0.71040932113112087</c:v>
                </c:pt>
                <c:pt idx="57">
                  <c:v>0.71032457237840041</c:v>
                </c:pt>
                <c:pt idx="58">
                  <c:v>0.71007153315396132</c:v>
                </c:pt>
                <c:pt idx="59">
                  <c:v>0.70962743549627239</c:v>
                </c:pt>
                <c:pt idx="60">
                  <c:v>0.70896221326513476</c:v>
                </c:pt>
                <c:pt idx="61">
                  <c:v>0.7080385021416753</c:v>
                </c:pt>
                <c:pt idx="62">
                  <c:v>0.70681163962835059</c:v>
                </c:pt>
                <c:pt idx="63">
                  <c:v>0.70522966504895179</c:v>
                </c:pt>
                <c:pt idx="64">
                  <c:v>0.70323331954859447</c:v>
                </c:pt>
                <c:pt idx="65">
                  <c:v>0.70075604609372433</c:v>
                </c:pt>
                <c:pt idx="66">
                  <c:v>0.69772398947211589</c:v>
                </c:pt>
                <c:pt idx="67">
                  <c:v>0.69405599629288095</c:v>
                </c:pt>
                <c:pt idx="68">
                  <c:v>0.68966361498644813</c:v>
                </c:pt>
                <c:pt idx="69">
                  <c:v>0.68445109580458952</c:v>
                </c:pt>
                <c:pt idx="70">
                  <c:v>0.67831539082039316</c:v>
                </c:pt>
                <c:pt idx="71">
                  <c:v>0.67114615392828703</c:v>
                </c:pt>
                <c:pt idx="72">
                  <c:v>0.66282574084402524</c:v>
                </c:pt>
                <c:pt idx="73">
                  <c:v>0.65322920910468585</c:v>
                </c:pt>
                <c:pt idx="74">
                  <c:v>0.64222431806868774</c:v>
                </c:pt>
                <c:pt idx="75">
                  <c:v>0.62967152891577105</c:v>
                </c:pt>
                <c:pt idx="76">
                  <c:v>0.61542400464700564</c:v>
                </c:pt>
                <c:pt idx="77">
                  <c:v>0.59932761008479507</c:v>
                </c:pt>
                <c:pt idx="78">
                  <c:v>0.58122091187286995</c:v>
                </c:pt>
                <c:pt idx="79">
                  <c:v>0.56093517847629504</c:v>
                </c:pt>
                <c:pt idx="80">
                  <c:v>0.53829438018145148</c:v>
                </c:pt>
                <c:pt idx="81">
                  <c:v>0.51311518909606701</c:v>
                </c:pt>
                <c:pt idx="82">
                  <c:v>0.48520697914918753</c:v>
                </c:pt>
                <c:pt idx="83">
                  <c:v>0.45437182609119131</c:v>
                </c:pt>
                <c:pt idx="84">
                  <c:v>0.42040450749378988</c:v>
                </c:pt>
                <c:pt idx="85">
                  <c:v>0.38309250275001827</c:v>
                </c:pt>
                <c:pt idx="86">
                  <c:v>0.34221599307424477</c:v>
                </c:pt>
                <c:pt idx="87">
                  <c:v>0.29754786150216561</c:v>
                </c:pt>
                <c:pt idx="88">
                  <c:v>0.24885369289081294</c:v>
                </c:pt>
                <c:pt idx="89">
                  <c:v>0.19589177391853885</c:v>
                </c:pt>
                <c:pt idx="90">
                  <c:v>0.13841309308502248</c:v>
                </c:pt>
                <c:pt idx="91">
                  <c:v>7.6161340711288661E-2</c:v>
                </c:pt>
                <c:pt idx="92">
                  <c:v>8.8729089396875072E-3</c:v>
                </c:pt>
                <c:pt idx="93">
                  <c:v>-6.3723108266124262E-2</c:v>
                </c:pt>
                <c:pt idx="94">
                  <c:v>-0.14190491512112735</c:v>
                </c:pt>
                <c:pt idx="95">
                  <c:v>-0.22595801401899585</c:v>
                </c:pt>
                <c:pt idx="96">
                  <c:v>-0.31617520553206435</c:v>
                </c:pt>
                <c:pt idx="97">
                  <c:v>-0.41285658841133865</c:v>
                </c:pt>
                <c:pt idx="98">
                  <c:v>-0.51630955958649749</c:v>
                </c:pt>
                <c:pt idx="99">
                  <c:v>-0.62684881416588456</c:v>
                </c:pt>
                <c:pt idx="100">
                  <c:v>-0.74479634543652984</c:v>
                </c:pt>
              </c:numCache>
            </c:numRef>
          </c:yVal>
          <c:smooth val="0"/>
          <c:extLst>
            <c:ext xmlns:c16="http://schemas.microsoft.com/office/drawing/2014/chart" uri="{C3380CC4-5D6E-409C-BE32-E72D297353CC}">
              <c16:uniqueId val="{00000000-1960-4030-A112-FC52004B1131}"/>
            </c:ext>
          </c:extLst>
        </c:ser>
        <c:ser>
          <c:idx val="2"/>
          <c:order val="1"/>
          <c:tx>
            <c:v>回帰曲線（サンプル範囲）</c:v>
          </c:tx>
          <c:spPr>
            <a:ln w="25400" cap="rnd">
              <a:solidFill>
                <a:schemeClr val="accent1"/>
              </a:solidFill>
              <a:round/>
            </a:ln>
            <a:effectLst/>
          </c:spPr>
          <c:marker>
            <c:symbol val="none"/>
          </c:marker>
          <c:xVal>
            <c:numRef>
              <c:f>'C2'!$BA$14:$BA$1013</c:f>
              <c:numCache>
                <c:formatCode>General</c:formatCode>
                <c:ptCount val="1000"/>
                <c:pt idx="0">
                  <c:v>0</c:v>
                </c:pt>
                <c:pt idx="1">
                  <c:v>5.6803866333333335E-2</c:v>
                </c:pt>
                <c:pt idx="2">
                  <c:v>0.11360773266666667</c:v>
                </c:pt>
                <c:pt idx="3">
                  <c:v>0.170411599</c:v>
                </c:pt>
                <c:pt idx="4">
                  <c:v>0.22721546533333334</c:v>
                </c:pt>
                <c:pt idx="5">
                  <c:v>0.28401933166666665</c:v>
                </c:pt>
                <c:pt idx="6">
                  <c:v>0.34082319799999999</c:v>
                </c:pt>
                <c:pt idx="7">
                  <c:v>0.39762706433333334</c:v>
                </c:pt>
                <c:pt idx="8">
                  <c:v>0.45443093066666668</c:v>
                </c:pt>
                <c:pt idx="9">
                  <c:v>0.51123479699999996</c:v>
                </c:pt>
                <c:pt idx="10">
                  <c:v>0.5680386633333333</c:v>
                </c:pt>
                <c:pt idx="11">
                  <c:v>0.62484252966666665</c:v>
                </c:pt>
                <c:pt idx="12">
                  <c:v>0.68164639599999999</c:v>
                </c:pt>
                <c:pt idx="13">
                  <c:v>0.73845026233333333</c:v>
                </c:pt>
                <c:pt idx="14">
                  <c:v>0.79525412866666667</c:v>
                </c:pt>
                <c:pt idx="15">
                  <c:v>0.85205799500000001</c:v>
                </c:pt>
                <c:pt idx="16">
                  <c:v>0.90886186133333335</c:v>
                </c:pt>
                <c:pt idx="17">
                  <c:v>0.9656657276666667</c:v>
                </c:pt>
                <c:pt idx="18">
                  <c:v>1.0224695939999999</c:v>
                </c:pt>
                <c:pt idx="19">
                  <c:v>1.0792734603333334</c:v>
                </c:pt>
                <c:pt idx="20">
                  <c:v>1.1360773266666666</c:v>
                </c:pt>
                <c:pt idx="21">
                  <c:v>1.1928811930000001</c:v>
                </c:pt>
                <c:pt idx="22">
                  <c:v>1.2496850593333333</c:v>
                </c:pt>
                <c:pt idx="23">
                  <c:v>1.3064889256666667</c:v>
                </c:pt>
                <c:pt idx="24">
                  <c:v>1.363292792</c:v>
                </c:pt>
                <c:pt idx="25">
                  <c:v>1.4200966583333334</c:v>
                </c:pt>
                <c:pt idx="26">
                  <c:v>1.4769005246666667</c:v>
                </c:pt>
                <c:pt idx="27">
                  <c:v>1.5337043910000001</c:v>
                </c:pt>
                <c:pt idx="28">
                  <c:v>1.5905082573333333</c:v>
                </c:pt>
                <c:pt idx="29">
                  <c:v>1.6473121236666668</c:v>
                </c:pt>
                <c:pt idx="30">
                  <c:v>1.70411599</c:v>
                </c:pt>
                <c:pt idx="31">
                  <c:v>1.7609198563333335</c:v>
                </c:pt>
                <c:pt idx="32">
                  <c:v>1.8177237226666667</c:v>
                </c:pt>
                <c:pt idx="33">
                  <c:v>1.8745275889999999</c:v>
                </c:pt>
                <c:pt idx="34">
                  <c:v>1.9313314553333334</c:v>
                </c:pt>
                <c:pt idx="35">
                  <c:v>1.9881353216666666</c:v>
                </c:pt>
                <c:pt idx="36">
                  <c:v>2.0449391879999999</c:v>
                </c:pt>
                <c:pt idx="37">
                  <c:v>2.1017430543333333</c:v>
                </c:pt>
                <c:pt idx="38">
                  <c:v>2.1585469206666668</c:v>
                </c:pt>
                <c:pt idx="39">
                  <c:v>2.2153507870000002</c:v>
                </c:pt>
                <c:pt idx="40">
                  <c:v>2.2721546533333332</c:v>
                </c:pt>
                <c:pt idx="41">
                  <c:v>2.3289585196666667</c:v>
                </c:pt>
                <c:pt idx="42">
                  <c:v>2.3857623860000001</c:v>
                </c:pt>
                <c:pt idx="43">
                  <c:v>2.4425662523333336</c:v>
                </c:pt>
                <c:pt idx="44">
                  <c:v>2.4993701186666666</c:v>
                </c:pt>
                <c:pt idx="45">
                  <c:v>2.556173985</c:v>
                </c:pt>
                <c:pt idx="46">
                  <c:v>2.6129778513333335</c:v>
                </c:pt>
                <c:pt idx="47">
                  <c:v>2.6697817176666669</c:v>
                </c:pt>
                <c:pt idx="48">
                  <c:v>2.726585584</c:v>
                </c:pt>
                <c:pt idx="49">
                  <c:v>2.7833894503333334</c:v>
                </c:pt>
                <c:pt idx="50">
                  <c:v>2.8401933166666669</c:v>
                </c:pt>
                <c:pt idx="51">
                  <c:v>2.8969971829999999</c:v>
                </c:pt>
                <c:pt idx="52">
                  <c:v>2.9538010493333333</c:v>
                </c:pt>
                <c:pt idx="53">
                  <c:v>3.0106049156666668</c:v>
                </c:pt>
                <c:pt idx="54">
                  <c:v>3.0674087820000002</c:v>
                </c:pt>
                <c:pt idx="55">
                  <c:v>3.1242126483333332</c:v>
                </c:pt>
                <c:pt idx="56">
                  <c:v>3.1810165146666667</c:v>
                </c:pt>
                <c:pt idx="57">
                  <c:v>3.2378203810000001</c:v>
                </c:pt>
                <c:pt idx="58">
                  <c:v>3.2946242473333336</c:v>
                </c:pt>
                <c:pt idx="59">
                  <c:v>3.3514281136666666</c:v>
                </c:pt>
                <c:pt idx="60">
                  <c:v>3.40823198</c:v>
                </c:pt>
                <c:pt idx="61">
                  <c:v>3.4650358463333335</c:v>
                </c:pt>
                <c:pt idx="62">
                  <c:v>3.521839712666667</c:v>
                </c:pt>
                <c:pt idx="63">
                  <c:v>3.578643579</c:v>
                </c:pt>
                <c:pt idx="64">
                  <c:v>3.6354474453333334</c:v>
                </c:pt>
                <c:pt idx="65">
                  <c:v>3.6922513116666669</c:v>
                </c:pt>
                <c:pt idx="66">
                  <c:v>3.7490551779999999</c:v>
                </c:pt>
                <c:pt idx="67">
                  <c:v>3.8058590443333333</c:v>
                </c:pt>
                <c:pt idx="68">
                  <c:v>3.8626629106666668</c:v>
                </c:pt>
                <c:pt idx="69">
                  <c:v>3.9194667770000002</c:v>
                </c:pt>
                <c:pt idx="70">
                  <c:v>3.9762706433333332</c:v>
                </c:pt>
                <c:pt idx="71">
                  <c:v>4.0330745096666671</c:v>
                </c:pt>
                <c:pt idx="72">
                  <c:v>4.0898783759999997</c:v>
                </c:pt>
                <c:pt idx="73">
                  <c:v>4.1466822423333332</c:v>
                </c:pt>
                <c:pt idx="74">
                  <c:v>4.2034861086666666</c:v>
                </c:pt>
                <c:pt idx="75">
                  <c:v>4.2602899750000001</c:v>
                </c:pt>
                <c:pt idx="76">
                  <c:v>4.3170938413333335</c:v>
                </c:pt>
                <c:pt idx="77">
                  <c:v>4.373897707666667</c:v>
                </c:pt>
                <c:pt idx="78">
                  <c:v>4.4307015740000004</c:v>
                </c:pt>
                <c:pt idx="79">
                  <c:v>4.4875054403333339</c:v>
                </c:pt>
                <c:pt idx="80">
                  <c:v>4.5443093066666664</c:v>
                </c:pt>
                <c:pt idx="81">
                  <c:v>4.6011131729999999</c:v>
                </c:pt>
                <c:pt idx="82">
                  <c:v>4.6579170393333333</c:v>
                </c:pt>
                <c:pt idx="83">
                  <c:v>4.7147209056666668</c:v>
                </c:pt>
                <c:pt idx="84">
                  <c:v>4.7715247720000002</c:v>
                </c:pt>
                <c:pt idx="85">
                  <c:v>4.8283286383333337</c:v>
                </c:pt>
                <c:pt idx="86">
                  <c:v>4.8851325046666672</c:v>
                </c:pt>
                <c:pt idx="87">
                  <c:v>4.9419363709999997</c:v>
                </c:pt>
                <c:pt idx="88">
                  <c:v>4.9987402373333332</c:v>
                </c:pt>
                <c:pt idx="89">
                  <c:v>5.0555441036666666</c:v>
                </c:pt>
                <c:pt idx="90">
                  <c:v>5.1123479700000001</c:v>
                </c:pt>
                <c:pt idx="91">
                  <c:v>5.1691518363333335</c:v>
                </c:pt>
                <c:pt idx="92">
                  <c:v>5.225955702666667</c:v>
                </c:pt>
                <c:pt idx="93">
                  <c:v>5.2827595690000004</c:v>
                </c:pt>
                <c:pt idx="94">
                  <c:v>5.3395634353333339</c:v>
                </c:pt>
                <c:pt idx="95">
                  <c:v>5.3963673016666664</c:v>
                </c:pt>
                <c:pt idx="96">
                  <c:v>5.4531711679999999</c:v>
                </c:pt>
                <c:pt idx="97">
                  <c:v>5.5099750343333334</c:v>
                </c:pt>
                <c:pt idx="98">
                  <c:v>5.5667789006666668</c:v>
                </c:pt>
                <c:pt idx="99">
                  <c:v>5.6235827670000003</c:v>
                </c:pt>
                <c:pt idx="100">
                  <c:v>5.6803866333333337</c:v>
                </c:pt>
              </c:numCache>
            </c:numRef>
          </c:xVal>
          <c:yVal>
            <c:numRef>
              <c:f>'C2'!$AZ$14:$AZ$1013</c:f>
              <c:numCache>
                <c:formatCode>General</c:formatCode>
                <c:ptCount val="1000"/>
                <c:pt idx="0">
                  <c:v>-1.5054836501088742E-2</c:v>
                </c:pt>
                <c:pt idx="1">
                  <c:v>3.1011015163351772E-2</c:v>
                </c:pt>
                <c:pt idx="2">
                  <c:v>7.4787440159153729E-2</c:v>
                </c:pt>
                <c:pt idx="3">
                  <c:v>0.11635382895214674</c:v>
                </c:pt>
                <c:pt idx="4">
                  <c:v>0.15578813039262063</c:v>
                </c:pt>
                <c:pt idx="5">
                  <c:v>0.19316685171532533</c:v>
                </c:pt>
                <c:pt idx="6">
                  <c:v>0.22856505853947096</c:v>
                </c:pt>
                <c:pt idx="7">
                  <c:v>0.26205637486872779</c:v>
                </c:pt>
                <c:pt idx="8">
                  <c:v>0.2937129830912264</c:v>
                </c:pt>
                <c:pt idx="9">
                  <c:v>0.32360562397955711</c:v>
                </c:pt>
                <c:pt idx="10">
                  <c:v>0.35180359669077099</c:v>
                </c:pt>
                <c:pt idx="11">
                  <c:v>0.37837475876637877</c:v>
                </c:pt>
                <c:pt idx="12">
                  <c:v>0.40338552613235151</c:v>
                </c:pt>
                <c:pt idx="13">
                  <c:v>0.42690087309912056</c:v>
                </c:pt>
                <c:pt idx="14">
                  <c:v>0.44898433236157731</c:v>
                </c:pt>
                <c:pt idx="15">
                  <c:v>0.46969799499907333</c:v>
                </c:pt>
                <c:pt idx="16">
                  <c:v>0.4891025104754203</c:v>
                </c:pt>
                <c:pt idx="17">
                  <c:v>0.50725708663889013</c:v>
                </c:pt>
                <c:pt idx="18">
                  <c:v>0.52421948972221477</c:v>
                </c:pt>
                <c:pt idx="19">
                  <c:v>0.54004604434258663</c:v>
                </c:pt>
                <c:pt idx="20">
                  <c:v>0.55479163350165805</c:v>
                </c:pt>
                <c:pt idx="21">
                  <c:v>0.56850969858554146</c:v>
                </c:pt>
                <c:pt idx="22">
                  <c:v>0.58125223936480963</c:v>
                </c:pt>
                <c:pt idx="23">
                  <c:v>0.59306981399449521</c:v>
                </c:pt>
                <c:pt idx="24">
                  <c:v>0.60401153901409133</c:v>
                </c:pt>
                <c:pt idx="25">
                  <c:v>0.61412508934755139</c:v>
                </c:pt>
                <c:pt idx="26">
                  <c:v>0.62345669830328831</c:v>
                </c:pt>
                <c:pt idx="27">
                  <c:v>0.63205115757417607</c:v>
                </c:pt>
                <c:pt idx="28">
                  <c:v>0.6399518172375479</c:v>
                </c:pt>
                <c:pt idx="29">
                  <c:v>0.6472005857551979</c:v>
                </c:pt>
                <c:pt idx="30">
                  <c:v>0.65383792997338008</c:v>
                </c:pt>
                <c:pt idx="31">
                  <c:v>0.65990287512280821</c:v>
                </c:pt>
                <c:pt idx="32">
                  <c:v>0.66543300481865697</c:v>
                </c:pt>
                <c:pt idx="33">
                  <c:v>0.67046446106056079</c:v>
                </c:pt>
                <c:pt idx="34">
                  <c:v>0.6750319442326137</c:v>
                </c:pt>
                <c:pt idx="35">
                  <c:v>0.67916871310337135</c:v>
                </c:pt>
                <c:pt idx="36">
                  <c:v>0.68290658482584798</c:v>
                </c:pt>
                <c:pt idx="37">
                  <c:v>0.68627593493751937</c:v>
                </c:pt>
                <c:pt idx="38">
                  <c:v>0.68930569736032044</c:v>
                </c:pt>
                <c:pt idx="39">
                  <c:v>0.6920233644006466</c:v>
                </c:pt>
                <c:pt idx="40">
                  <c:v>0.69445498674935324</c:v>
                </c:pt>
                <c:pt idx="41">
                  <c:v>0.69662517348175657</c:v>
                </c:pt>
                <c:pt idx="42">
                  <c:v>0.69855709205763183</c:v>
                </c:pt>
                <c:pt idx="43">
                  <c:v>0.70027246832121537</c:v>
                </c:pt>
                <c:pt idx="44">
                  <c:v>0.70179158650120477</c:v>
                </c:pt>
                <c:pt idx="45">
                  <c:v>0.70313328921075402</c:v>
                </c:pt>
                <c:pt idx="46">
                  <c:v>0.70431497744748151</c:v>
                </c:pt>
                <c:pt idx="47">
                  <c:v>0.7053526105934631</c:v>
                </c:pt>
                <c:pt idx="48">
                  <c:v>0.70626070641523553</c:v>
                </c:pt>
                <c:pt idx="49">
                  <c:v>0.70705234106379677</c:v>
                </c:pt>
                <c:pt idx="50">
                  <c:v>0.707739149074603</c:v>
                </c:pt>
                <c:pt idx="51">
                  <c:v>0.7083313233675721</c:v>
                </c:pt>
                <c:pt idx="52">
                  <c:v>0.70883761524708122</c:v>
                </c:pt>
                <c:pt idx="53">
                  <c:v>0.70926533440196882</c:v>
                </c:pt>
                <c:pt idx="54">
                  <c:v>0.70962034890553194</c:v>
                </c:pt>
                <c:pt idx="55">
                  <c:v>0.70990708521552892</c:v>
                </c:pt>
                <c:pt idx="56">
                  <c:v>0.71012852817417804</c:v>
                </c:pt>
                <c:pt idx="57">
                  <c:v>0.7102862210081573</c:v>
                </c:pt>
                <c:pt idx="58">
                  <c:v>0.71038026532860488</c:v>
                </c:pt>
                <c:pt idx="59">
                  <c:v>0.71040932113112087</c:v>
                </c:pt>
                <c:pt idx="60">
                  <c:v>0.71037060679576292</c:v>
                </c:pt>
                <c:pt idx="61">
                  <c:v>0.71025989908704967</c:v>
                </c:pt>
                <c:pt idx="62">
                  <c:v>0.71007153315396088</c:v>
                </c:pt>
                <c:pt idx="63">
                  <c:v>0.70979840252993642</c:v>
                </c:pt>
                <c:pt idx="64">
                  <c:v>0.70943195913287371</c:v>
                </c:pt>
                <c:pt idx="65">
                  <c:v>0.70896221326513476</c:v>
                </c:pt>
                <c:pt idx="66">
                  <c:v>0.70837773361353862</c:v>
                </c:pt>
                <c:pt idx="67">
                  <c:v>0.70766564724936365</c:v>
                </c:pt>
                <c:pt idx="68">
                  <c:v>0.70681163962835147</c:v>
                </c:pt>
                <c:pt idx="69">
                  <c:v>0.70579995459070211</c:v>
                </c:pt>
                <c:pt idx="70">
                  <c:v>0.70461339436107662</c:v>
                </c:pt>
                <c:pt idx="71">
                  <c:v>0.70323331954859403</c:v>
                </c:pt>
                <c:pt idx="72">
                  <c:v>0.7016396491468353</c:v>
                </c:pt>
                <c:pt idx="73">
                  <c:v>0.69981086053384334</c:v>
                </c:pt>
                <c:pt idx="74">
                  <c:v>0.69772398947211589</c:v>
                </c:pt>
                <c:pt idx="75">
                  <c:v>0.69535463010861842</c:v>
                </c:pt>
                <c:pt idx="76">
                  <c:v>0.69267693497476857</c:v>
                </c:pt>
                <c:pt idx="77">
                  <c:v>0.68966361498644946</c:v>
                </c:pt>
                <c:pt idx="78">
                  <c:v>0.68628593944400262</c:v>
                </c:pt>
                <c:pt idx="79">
                  <c:v>0.68251373603222887</c:v>
                </c:pt>
                <c:pt idx="80">
                  <c:v>0.67831539082039316</c:v>
                </c:pt>
                <c:pt idx="81">
                  <c:v>0.67365784826221575</c:v>
                </c:pt>
                <c:pt idx="82">
                  <c:v>0.6685066111958784</c:v>
                </c:pt>
                <c:pt idx="83">
                  <c:v>0.66282574084402346</c:v>
                </c:pt>
                <c:pt idx="84">
                  <c:v>0.65657785681375525</c:v>
                </c:pt>
                <c:pt idx="85">
                  <c:v>0.64972413709663468</c:v>
                </c:pt>
                <c:pt idx="86">
                  <c:v>0.64222431806868596</c:v>
                </c:pt>
                <c:pt idx="87">
                  <c:v>0.63403669449039524</c:v>
                </c:pt>
                <c:pt idx="88">
                  <c:v>0.62511811950670038</c:v>
                </c:pt>
                <c:pt idx="89">
                  <c:v>0.61542400464700564</c:v>
                </c:pt>
                <c:pt idx="90">
                  <c:v>0.60490831982517723</c:v>
                </c:pt>
                <c:pt idx="91">
                  <c:v>0.59352359333953708</c:v>
                </c:pt>
                <c:pt idx="92">
                  <c:v>0.58122091187287173</c:v>
                </c:pt>
                <c:pt idx="93">
                  <c:v>0.56794992049242077</c:v>
                </c:pt>
                <c:pt idx="94">
                  <c:v>0.55365882264989374</c:v>
                </c:pt>
                <c:pt idx="95">
                  <c:v>0.53829438018145148</c:v>
                </c:pt>
                <c:pt idx="96">
                  <c:v>0.52180191330771941</c:v>
                </c:pt>
                <c:pt idx="97">
                  <c:v>0.5041253006337858</c:v>
                </c:pt>
                <c:pt idx="98">
                  <c:v>0.48520697914918753</c:v>
                </c:pt>
                <c:pt idx="99">
                  <c:v>0.46498794422793499</c:v>
                </c:pt>
                <c:pt idx="100">
                  <c:v>0.44340774962849516</c:v>
                </c:pt>
              </c:numCache>
            </c:numRef>
          </c:yVal>
          <c:smooth val="0"/>
          <c:extLst>
            <c:ext xmlns:c16="http://schemas.microsoft.com/office/drawing/2014/chart" uri="{C3380CC4-5D6E-409C-BE32-E72D297353CC}">
              <c16:uniqueId val="{00000001-1960-4030-A112-FC52004B1131}"/>
            </c:ext>
          </c:extLst>
        </c:ser>
        <c:ser>
          <c:idx val="1"/>
          <c:order val="2"/>
          <c:tx>
            <c:v>要求条件での計算結果</c:v>
          </c:tx>
          <c:spPr>
            <a:ln w="19050" cap="rnd">
              <a:noFill/>
              <a:round/>
            </a:ln>
            <a:effectLst/>
          </c:spPr>
          <c:marker>
            <c:symbol val="x"/>
            <c:size val="8"/>
            <c:spPr>
              <a:noFill/>
              <a:ln w="9525">
                <a:solidFill>
                  <a:srgbClr val="FF0000"/>
                </a:solidFill>
              </a:ln>
              <a:effectLst/>
            </c:spPr>
          </c:marker>
          <c:xVal>
            <c:numRef>
              <c:f>E!$AL$16:$AL$25</c:f>
              <c:numCache>
                <c:formatCode>General</c:formatCode>
                <c:ptCount val="10"/>
                <c:pt idx="0">
                  <c:v>3.4201174766310598</c:v>
                </c:pt>
                <c:pt idx="1">
                  <c:v>4.9758672524677054</c:v>
                </c:pt>
                <c:pt idx="2">
                  <c:v>3.961307076098775</c:v>
                </c:pt>
                <c:pt idx="3">
                  <c:v>4.5375953822736079</c:v>
                </c:pt>
                <c:pt idx="4">
                  <c:v>3.8526788236873526</c:v>
                </c:pt>
                <c:pt idx="5">
                  <c:v>4.1918688533811812</c:v>
                </c:pt>
                <c:pt idx="6">
                  <c:v>3.6800674982426855</c:v>
                </c:pt>
                <c:pt idx="7">
                  <c:v>3.9136774113022961</c:v>
                </c:pt>
                <c:pt idx="8">
                  <c:v>3.5103050308955517</c:v>
                </c:pt>
                <c:pt idx="9">
                  <c:v>3.6848346742713982</c:v>
                </c:pt>
              </c:numCache>
            </c:numRef>
          </c:xVal>
          <c:yVal>
            <c:numRef>
              <c:f>E!$AJ$16:$AJ$25</c:f>
              <c:numCache>
                <c:formatCode>General</c:formatCode>
                <c:ptCount val="10"/>
                <c:pt idx="0">
                  <c:v>0.71035356588463849</c:v>
                </c:pt>
                <c:pt idx="1">
                  <c:v>0.62880005552260543</c:v>
                </c:pt>
                <c:pt idx="2">
                  <c:v>0.70494395108470864</c:v>
                </c:pt>
                <c:pt idx="3">
                  <c:v>0.67883488823724725</c:v>
                </c:pt>
                <c:pt idx="4">
                  <c:v>0.70697269909514326</c:v>
                </c:pt>
                <c:pt idx="5">
                  <c:v>0.69817294696863086</c:v>
                </c:pt>
                <c:pt idx="6">
                  <c:v>0.70907222224410016</c:v>
                </c:pt>
                <c:pt idx="7">
                  <c:v>0.70591076669589925</c:v>
                </c:pt>
                <c:pt idx="8">
                  <c:v>0.71011639006069216</c:v>
                </c:pt>
                <c:pt idx="9">
                  <c:v>0.70902979923540177</c:v>
                </c:pt>
              </c:numCache>
            </c:numRef>
          </c:yVal>
          <c:smooth val="0"/>
          <c:extLst>
            <c:ext xmlns:c16="http://schemas.microsoft.com/office/drawing/2014/chart" uri="{C3380CC4-5D6E-409C-BE32-E72D297353CC}">
              <c16:uniqueId val="{00000002-1960-4030-A112-FC52004B1131}"/>
            </c:ext>
          </c:extLst>
        </c:ser>
        <c:dLbls>
          <c:showLegendKey val="0"/>
          <c:showVal val="0"/>
          <c:showCatName val="0"/>
          <c:showSerName val="0"/>
          <c:showPercent val="0"/>
          <c:showBubbleSize val="0"/>
        </c:dLbls>
        <c:axId val="1866239839"/>
        <c:axId val="170578446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C</a:t>
                </a:r>
                <a:r>
                  <a:rPr lang="en-US" altLang="ja-JP" baseline="-25000"/>
                  <a:t>f</a:t>
                </a:r>
                <a:r>
                  <a:rPr lang="en-US" altLang="ja-JP"/>
                  <a:t>[-]</a:t>
                </a:r>
                <a:endParaRPr lang="ja-JP" altLang="en-US"/>
              </a:p>
            </c:rich>
          </c:tx>
          <c:layout>
            <c:manualLayout>
              <c:xMode val="edge"/>
              <c:yMode val="edge"/>
              <c:x val="0.51317239666029402"/>
              <c:y val="0.9487073004763294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η[-]</a:t>
                </a:r>
                <a:endParaRPr lang="ja-JP" altLang="en-US"/>
              </a:p>
            </c:rich>
          </c:tx>
          <c:layout>
            <c:manualLayout>
              <c:xMode val="edge"/>
              <c:yMode val="edge"/>
              <c:x val="7.9809468260911842E-3"/>
              <c:y val="0.39467781342147046"/>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spPr>
        <a:solidFill>
          <a:schemeClr val="bg1"/>
        </a:solidFill>
        <a:ln>
          <a:noFill/>
        </a:ln>
        <a:effectLst/>
      </c:spPr>
    </c:plotArea>
    <c:legend>
      <c:legendPos val="t"/>
      <c:layout>
        <c:manualLayout>
          <c:xMode val="edge"/>
          <c:yMode val="edge"/>
          <c:x val="0"/>
          <c:y val="0"/>
          <c:w val="0.99917695473251034"/>
          <c:h val="8.518550921875506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07181536948403E-2"/>
          <c:y val="0.11154013155762937"/>
          <c:w val="0.88246010098410888"/>
          <c:h val="0.72194117710594818"/>
        </c:manualLayout>
      </c:layout>
      <c:scatterChart>
        <c:scatterStyle val="lineMarker"/>
        <c:varyColors val="0"/>
        <c:ser>
          <c:idx val="2"/>
          <c:order val="0"/>
          <c:tx>
            <c:v>回帰曲線（サンプル範囲）</c:v>
          </c:tx>
          <c:spPr>
            <a:ln w="25400" cap="rnd">
              <a:solidFill>
                <a:schemeClr val="accent1"/>
              </a:solidFill>
              <a:round/>
            </a:ln>
            <a:effectLst/>
          </c:spPr>
          <c:marker>
            <c:symbol val="none"/>
          </c:marker>
          <c:xVal>
            <c:numRef>
              <c:f>'C2'!$BA$14:$BA$1013</c:f>
              <c:numCache>
                <c:formatCode>General</c:formatCode>
                <c:ptCount val="1000"/>
                <c:pt idx="0">
                  <c:v>0</c:v>
                </c:pt>
                <c:pt idx="1">
                  <c:v>5.6803866333333335E-2</c:v>
                </c:pt>
                <c:pt idx="2">
                  <c:v>0.11360773266666667</c:v>
                </c:pt>
                <c:pt idx="3">
                  <c:v>0.170411599</c:v>
                </c:pt>
                <c:pt idx="4">
                  <c:v>0.22721546533333334</c:v>
                </c:pt>
                <c:pt idx="5">
                  <c:v>0.28401933166666665</c:v>
                </c:pt>
                <c:pt idx="6">
                  <c:v>0.34082319799999999</c:v>
                </c:pt>
                <c:pt idx="7">
                  <c:v>0.39762706433333334</c:v>
                </c:pt>
                <c:pt idx="8">
                  <c:v>0.45443093066666668</c:v>
                </c:pt>
                <c:pt idx="9">
                  <c:v>0.51123479699999996</c:v>
                </c:pt>
                <c:pt idx="10">
                  <c:v>0.5680386633333333</c:v>
                </c:pt>
                <c:pt idx="11">
                  <c:v>0.62484252966666665</c:v>
                </c:pt>
                <c:pt idx="12">
                  <c:v>0.68164639599999999</c:v>
                </c:pt>
                <c:pt idx="13">
                  <c:v>0.73845026233333333</c:v>
                </c:pt>
                <c:pt idx="14">
                  <c:v>0.79525412866666667</c:v>
                </c:pt>
                <c:pt idx="15">
                  <c:v>0.85205799500000001</c:v>
                </c:pt>
                <c:pt idx="16">
                  <c:v>0.90886186133333335</c:v>
                </c:pt>
                <c:pt idx="17">
                  <c:v>0.9656657276666667</c:v>
                </c:pt>
                <c:pt idx="18">
                  <c:v>1.0224695939999999</c:v>
                </c:pt>
                <c:pt idx="19">
                  <c:v>1.0792734603333334</c:v>
                </c:pt>
                <c:pt idx="20">
                  <c:v>1.1360773266666666</c:v>
                </c:pt>
                <c:pt idx="21">
                  <c:v>1.1928811930000001</c:v>
                </c:pt>
                <c:pt idx="22">
                  <c:v>1.2496850593333333</c:v>
                </c:pt>
                <c:pt idx="23">
                  <c:v>1.3064889256666667</c:v>
                </c:pt>
                <c:pt idx="24">
                  <c:v>1.363292792</c:v>
                </c:pt>
                <c:pt idx="25">
                  <c:v>1.4200966583333334</c:v>
                </c:pt>
                <c:pt idx="26">
                  <c:v>1.4769005246666667</c:v>
                </c:pt>
                <c:pt idx="27">
                  <c:v>1.5337043910000001</c:v>
                </c:pt>
                <c:pt idx="28">
                  <c:v>1.5905082573333333</c:v>
                </c:pt>
                <c:pt idx="29">
                  <c:v>1.6473121236666668</c:v>
                </c:pt>
                <c:pt idx="30">
                  <c:v>1.70411599</c:v>
                </c:pt>
                <c:pt idx="31">
                  <c:v>1.7609198563333335</c:v>
                </c:pt>
                <c:pt idx="32">
                  <c:v>1.8177237226666667</c:v>
                </c:pt>
                <c:pt idx="33">
                  <c:v>1.8745275889999999</c:v>
                </c:pt>
                <c:pt idx="34">
                  <c:v>1.9313314553333334</c:v>
                </c:pt>
                <c:pt idx="35">
                  <c:v>1.9881353216666666</c:v>
                </c:pt>
                <c:pt idx="36">
                  <c:v>2.0449391879999999</c:v>
                </c:pt>
                <c:pt idx="37">
                  <c:v>2.1017430543333333</c:v>
                </c:pt>
                <c:pt idx="38">
                  <c:v>2.1585469206666668</c:v>
                </c:pt>
                <c:pt idx="39">
                  <c:v>2.2153507870000002</c:v>
                </c:pt>
                <c:pt idx="40">
                  <c:v>2.2721546533333332</c:v>
                </c:pt>
                <c:pt idx="41">
                  <c:v>2.3289585196666667</c:v>
                </c:pt>
                <c:pt idx="42">
                  <c:v>2.3857623860000001</c:v>
                </c:pt>
                <c:pt idx="43">
                  <c:v>2.4425662523333336</c:v>
                </c:pt>
                <c:pt idx="44">
                  <c:v>2.4993701186666666</c:v>
                </c:pt>
                <c:pt idx="45">
                  <c:v>2.556173985</c:v>
                </c:pt>
                <c:pt idx="46">
                  <c:v>2.6129778513333335</c:v>
                </c:pt>
                <c:pt idx="47">
                  <c:v>2.6697817176666669</c:v>
                </c:pt>
                <c:pt idx="48">
                  <c:v>2.726585584</c:v>
                </c:pt>
                <c:pt idx="49">
                  <c:v>2.7833894503333334</c:v>
                </c:pt>
                <c:pt idx="50">
                  <c:v>2.8401933166666669</c:v>
                </c:pt>
                <c:pt idx="51">
                  <c:v>2.8969971829999999</c:v>
                </c:pt>
                <c:pt idx="52">
                  <c:v>2.9538010493333333</c:v>
                </c:pt>
                <c:pt idx="53">
                  <c:v>3.0106049156666668</c:v>
                </c:pt>
                <c:pt idx="54">
                  <c:v>3.0674087820000002</c:v>
                </c:pt>
                <c:pt idx="55">
                  <c:v>3.1242126483333332</c:v>
                </c:pt>
                <c:pt idx="56">
                  <c:v>3.1810165146666667</c:v>
                </c:pt>
                <c:pt idx="57">
                  <c:v>3.2378203810000001</c:v>
                </c:pt>
                <c:pt idx="58">
                  <c:v>3.2946242473333336</c:v>
                </c:pt>
                <c:pt idx="59">
                  <c:v>3.3514281136666666</c:v>
                </c:pt>
                <c:pt idx="60">
                  <c:v>3.40823198</c:v>
                </c:pt>
                <c:pt idx="61">
                  <c:v>3.4650358463333335</c:v>
                </c:pt>
                <c:pt idx="62">
                  <c:v>3.521839712666667</c:v>
                </c:pt>
                <c:pt idx="63">
                  <c:v>3.578643579</c:v>
                </c:pt>
                <c:pt idx="64">
                  <c:v>3.6354474453333334</c:v>
                </c:pt>
                <c:pt idx="65">
                  <c:v>3.6922513116666669</c:v>
                </c:pt>
                <c:pt idx="66">
                  <c:v>3.7490551779999999</c:v>
                </c:pt>
                <c:pt idx="67">
                  <c:v>3.8058590443333333</c:v>
                </c:pt>
                <c:pt idx="68">
                  <c:v>3.8626629106666668</c:v>
                </c:pt>
                <c:pt idx="69">
                  <c:v>3.9194667770000002</c:v>
                </c:pt>
                <c:pt idx="70">
                  <c:v>3.9762706433333332</c:v>
                </c:pt>
                <c:pt idx="71">
                  <c:v>4.0330745096666671</c:v>
                </c:pt>
                <c:pt idx="72">
                  <c:v>4.0898783759999997</c:v>
                </c:pt>
                <c:pt idx="73">
                  <c:v>4.1466822423333332</c:v>
                </c:pt>
                <c:pt idx="74">
                  <c:v>4.2034861086666666</c:v>
                </c:pt>
                <c:pt idx="75">
                  <c:v>4.2602899750000001</c:v>
                </c:pt>
                <c:pt idx="76">
                  <c:v>4.3170938413333335</c:v>
                </c:pt>
                <c:pt idx="77">
                  <c:v>4.373897707666667</c:v>
                </c:pt>
                <c:pt idx="78">
                  <c:v>4.4307015740000004</c:v>
                </c:pt>
                <c:pt idx="79">
                  <c:v>4.4875054403333339</c:v>
                </c:pt>
                <c:pt idx="80">
                  <c:v>4.5443093066666664</c:v>
                </c:pt>
                <c:pt idx="81">
                  <c:v>4.6011131729999999</c:v>
                </c:pt>
                <c:pt idx="82">
                  <c:v>4.6579170393333333</c:v>
                </c:pt>
                <c:pt idx="83">
                  <c:v>4.7147209056666668</c:v>
                </c:pt>
                <c:pt idx="84">
                  <c:v>4.7715247720000002</c:v>
                </c:pt>
                <c:pt idx="85">
                  <c:v>4.8283286383333337</c:v>
                </c:pt>
                <c:pt idx="86">
                  <c:v>4.8851325046666672</c:v>
                </c:pt>
                <c:pt idx="87">
                  <c:v>4.9419363709999997</c:v>
                </c:pt>
                <c:pt idx="88">
                  <c:v>4.9987402373333332</c:v>
                </c:pt>
                <c:pt idx="89">
                  <c:v>5.0555441036666666</c:v>
                </c:pt>
                <c:pt idx="90">
                  <c:v>5.1123479700000001</c:v>
                </c:pt>
                <c:pt idx="91">
                  <c:v>5.1691518363333335</c:v>
                </c:pt>
                <c:pt idx="92">
                  <c:v>5.225955702666667</c:v>
                </c:pt>
                <c:pt idx="93">
                  <c:v>5.2827595690000004</c:v>
                </c:pt>
                <c:pt idx="94">
                  <c:v>5.3395634353333339</c:v>
                </c:pt>
                <c:pt idx="95">
                  <c:v>5.3963673016666664</c:v>
                </c:pt>
                <c:pt idx="96">
                  <c:v>5.4531711679999999</c:v>
                </c:pt>
                <c:pt idx="97">
                  <c:v>5.5099750343333334</c:v>
                </c:pt>
                <c:pt idx="98">
                  <c:v>5.5667789006666668</c:v>
                </c:pt>
                <c:pt idx="99">
                  <c:v>5.6235827670000003</c:v>
                </c:pt>
                <c:pt idx="100">
                  <c:v>5.6803866333333337</c:v>
                </c:pt>
              </c:numCache>
            </c:numRef>
          </c:xVal>
          <c:yVal>
            <c:numRef>
              <c:f>'C2'!$AZ$14:$AZ$1013</c:f>
              <c:numCache>
                <c:formatCode>General</c:formatCode>
                <c:ptCount val="1000"/>
                <c:pt idx="0">
                  <c:v>-1.5054836501088742E-2</c:v>
                </c:pt>
                <c:pt idx="1">
                  <c:v>3.1011015163351772E-2</c:v>
                </c:pt>
                <c:pt idx="2">
                  <c:v>7.4787440159153729E-2</c:v>
                </c:pt>
                <c:pt idx="3">
                  <c:v>0.11635382895214674</c:v>
                </c:pt>
                <c:pt idx="4">
                  <c:v>0.15578813039262063</c:v>
                </c:pt>
                <c:pt idx="5">
                  <c:v>0.19316685171532533</c:v>
                </c:pt>
                <c:pt idx="6">
                  <c:v>0.22856505853947096</c:v>
                </c:pt>
                <c:pt idx="7">
                  <c:v>0.26205637486872779</c:v>
                </c:pt>
                <c:pt idx="8">
                  <c:v>0.2937129830912264</c:v>
                </c:pt>
                <c:pt idx="9">
                  <c:v>0.32360562397955711</c:v>
                </c:pt>
                <c:pt idx="10">
                  <c:v>0.35180359669077099</c:v>
                </c:pt>
                <c:pt idx="11">
                  <c:v>0.37837475876637877</c:v>
                </c:pt>
                <c:pt idx="12">
                  <c:v>0.40338552613235151</c:v>
                </c:pt>
                <c:pt idx="13">
                  <c:v>0.42690087309912056</c:v>
                </c:pt>
                <c:pt idx="14">
                  <c:v>0.44898433236157731</c:v>
                </c:pt>
                <c:pt idx="15">
                  <c:v>0.46969799499907333</c:v>
                </c:pt>
                <c:pt idx="16">
                  <c:v>0.4891025104754203</c:v>
                </c:pt>
                <c:pt idx="17">
                  <c:v>0.50725708663889013</c:v>
                </c:pt>
                <c:pt idx="18">
                  <c:v>0.52421948972221477</c:v>
                </c:pt>
                <c:pt idx="19">
                  <c:v>0.54004604434258663</c:v>
                </c:pt>
                <c:pt idx="20">
                  <c:v>0.55479163350165805</c:v>
                </c:pt>
                <c:pt idx="21">
                  <c:v>0.56850969858554146</c:v>
                </c:pt>
                <c:pt idx="22">
                  <c:v>0.58125223936480963</c:v>
                </c:pt>
                <c:pt idx="23">
                  <c:v>0.59306981399449521</c:v>
                </c:pt>
                <c:pt idx="24">
                  <c:v>0.60401153901409133</c:v>
                </c:pt>
                <c:pt idx="25">
                  <c:v>0.61412508934755139</c:v>
                </c:pt>
                <c:pt idx="26">
                  <c:v>0.62345669830328831</c:v>
                </c:pt>
                <c:pt idx="27">
                  <c:v>0.63205115757417607</c:v>
                </c:pt>
                <c:pt idx="28">
                  <c:v>0.6399518172375479</c:v>
                </c:pt>
                <c:pt idx="29">
                  <c:v>0.6472005857551979</c:v>
                </c:pt>
                <c:pt idx="30">
                  <c:v>0.65383792997338008</c:v>
                </c:pt>
                <c:pt idx="31">
                  <c:v>0.65990287512280821</c:v>
                </c:pt>
                <c:pt idx="32">
                  <c:v>0.66543300481865697</c:v>
                </c:pt>
                <c:pt idx="33">
                  <c:v>0.67046446106056079</c:v>
                </c:pt>
                <c:pt idx="34">
                  <c:v>0.6750319442326137</c:v>
                </c:pt>
                <c:pt idx="35">
                  <c:v>0.67916871310337135</c:v>
                </c:pt>
                <c:pt idx="36">
                  <c:v>0.68290658482584798</c:v>
                </c:pt>
                <c:pt idx="37">
                  <c:v>0.68627593493751937</c:v>
                </c:pt>
                <c:pt idx="38">
                  <c:v>0.68930569736032044</c:v>
                </c:pt>
                <c:pt idx="39">
                  <c:v>0.6920233644006466</c:v>
                </c:pt>
                <c:pt idx="40">
                  <c:v>0.69445498674935324</c:v>
                </c:pt>
                <c:pt idx="41">
                  <c:v>0.69662517348175657</c:v>
                </c:pt>
                <c:pt idx="42">
                  <c:v>0.69855709205763183</c:v>
                </c:pt>
                <c:pt idx="43">
                  <c:v>0.70027246832121537</c:v>
                </c:pt>
                <c:pt idx="44">
                  <c:v>0.70179158650120477</c:v>
                </c:pt>
                <c:pt idx="45">
                  <c:v>0.70313328921075402</c:v>
                </c:pt>
                <c:pt idx="46">
                  <c:v>0.70431497744748151</c:v>
                </c:pt>
                <c:pt idx="47">
                  <c:v>0.7053526105934631</c:v>
                </c:pt>
                <c:pt idx="48">
                  <c:v>0.70626070641523553</c:v>
                </c:pt>
                <c:pt idx="49">
                  <c:v>0.70705234106379677</c:v>
                </c:pt>
                <c:pt idx="50">
                  <c:v>0.707739149074603</c:v>
                </c:pt>
                <c:pt idx="51">
                  <c:v>0.7083313233675721</c:v>
                </c:pt>
                <c:pt idx="52">
                  <c:v>0.70883761524708122</c:v>
                </c:pt>
                <c:pt idx="53">
                  <c:v>0.70926533440196882</c:v>
                </c:pt>
                <c:pt idx="54">
                  <c:v>0.70962034890553194</c:v>
                </c:pt>
                <c:pt idx="55">
                  <c:v>0.70990708521552892</c:v>
                </c:pt>
                <c:pt idx="56">
                  <c:v>0.71012852817417804</c:v>
                </c:pt>
                <c:pt idx="57">
                  <c:v>0.7102862210081573</c:v>
                </c:pt>
                <c:pt idx="58">
                  <c:v>0.71038026532860488</c:v>
                </c:pt>
                <c:pt idx="59">
                  <c:v>0.71040932113112087</c:v>
                </c:pt>
                <c:pt idx="60">
                  <c:v>0.71037060679576292</c:v>
                </c:pt>
                <c:pt idx="61">
                  <c:v>0.71025989908704967</c:v>
                </c:pt>
                <c:pt idx="62">
                  <c:v>0.71007153315396088</c:v>
                </c:pt>
                <c:pt idx="63">
                  <c:v>0.70979840252993642</c:v>
                </c:pt>
                <c:pt idx="64">
                  <c:v>0.70943195913287371</c:v>
                </c:pt>
                <c:pt idx="65">
                  <c:v>0.70896221326513476</c:v>
                </c:pt>
                <c:pt idx="66">
                  <c:v>0.70837773361353862</c:v>
                </c:pt>
                <c:pt idx="67">
                  <c:v>0.70766564724936365</c:v>
                </c:pt>
                <c:pt idx="68">
                  <c:v>0.70681163962835147</c:v>
                </c:pt>
                <c:pt idx="69">
                  <c:v>0.70579995459070211</c:v>
                </c:pt>
                <c:pt idx="70">
                  <c:v>0.70461339436107662</c:v>
                </c:pt>
                <c:pt idx="71">
                  <c:v>0.70323331954859403</c:v>
                </c:pt>
                <c:pt idx="72">
                  <c:v>0.7016396491468353</c:v>
                </c:pt>
                <c:pt idx="73">
                  <c:v>0.69981086053384334</c:v>
                </c:pt>
                <c:pt idx="74">
                  <c:v>0.69772398947211589</c:v>
                </c:pt>
                <c:pt idx="75">
                  <c:v>0.69535463010861842</c:v>
                </c:pt>
                <c:pt idx="76">
                  <c:v>0.69267693497476857</c:v>
                </c:pt>
                <c:pt idx="77">
                  <c:v>0.68966361498644946</c:v>
                </c:pt>
                <c:pt idx="78">
                  <c:v>0.68628593944400262</c:v>
                </c:pt>
                <c:pt idx="79">
                  <c:v>0.68251373603222887</c:v>
                </c:pt>
                <c:pt idx="80">
                  <c:v>0.67831539082039316</c:v>
                </c:pt>
                <c:pt idx="81">
                  <c:v>0.67365784826221575</c:v>
                </c:pt>
                <c:pt idx="82">
                  <c:v>0.6685066111958784</c:v>
                </c:pt>
                <c:pt idx="83">
                  <c:v>0.66282574084402346</c:v>
                </c:pt>
                <c:pt idx="84">
                  <c:v>0.65657785681375525</c:v>
                </c:pt>
                <c:pt idx="85">
                  <c:v>0.64972413709663468</c:v>
                </c:pt>
                <c:pt idx="86">
                  <c:v>0.64222431806868596</c:v>
                </c:pt>
                <c:pt idx="87">
                  <c:v>0.63403669449039524</c:v>
                </c:pt>
                <c:pt idx="88">
                  <c:v>0.62511811950670038</c:v>
                </c:pt>
                <c:pt idx="89">
                  <c:v>0.61542400464700564</c:v>
                </c:pt>
                <c:pt idx="90">
                  <c:v>0.60490831982517723</c:v>
                </c:pt>
                <c:pt idx="91">
                  <c:v>0.59352359333953708</c:v>
                </c:pt>
                <c:pt idx="92">
                  <c:v>0.58122091187287173</c:v>
                </c:pt>
                <c:pt idx="93">
                  <c:v>0.56794992049242077</c:v>
                </c:pt>
                <c:pt idx="94">
                  <c:v>0.55365882264989374</c:v>
                </c:pt>
                <c:pt idx="95">
                  <c:v>0.53829438018145148</c:v>
                </c:pt>
                <c:pt idx="96">
                  <c:v>0.52180191330771941</c:v>
                </c:pt>
                <c:pt idx="97">
                  <c:v>0.5041253006337858</c:v>
                </c:pt>
                <c:pt idx="98">
                  <c:v>0.48520697914918753</c:v>
                </c:pt>
                <c:pt idx="99">
                  <c:v>0.46498794422793499</c:v>
                </c:pt>
                <c:pt idx="100">
                  <c:v>0.44340774962849516</c:v>
                </c:pt>
              </c:numCache>
            </c:numRef>
          </c:yVal>
          <c:smooth val="0"/>
          <c:extLst>
            <c:ext xmlns:c16="http://schemas.microsoft.com/office/drawing/2014/chart" uri="{C3380CC4-5D6E-409C-BE32-E72D297353CC}">
              <c16:uniqueId val="{00000001-1BCE-4A75-BA36-C68586703A8F}"/>
            </c:ext>
          </c:extLst>
        </c:ser>
        <c:ser>
          <c:idx val="1"/>
          <c:order val="1"/>
          <c:tx>
            <c:v>要求条件での計算結果</c:v>
          </c:tx>
          <c:spPr>
            <a:ln w="19050" cap="rnd">
              <a:noFill/>
              <a:round/>
            </a:ln>
            <a:effectLst/>
          </c:spPr>
          <c:marker>
            <c:symbol val="x"/>
            <c:size val="8"/>
            <c:spPr>
              <a:noFill/>
              <a:ln w="9525">
                <a:solidFill>
                  <a:srgbClr val="FF0000"/>
                </a:solidFill>
              </a:ln>
              <a:effectLst/>
            </c:spPr>
          </c:marker>
          <c:xVal>
            <c:numRef>
              <c:f>E!$AL$16:$AL$25</c:f>
              <c:numCache>
                <c:formatCode>General</c:formatCode>
                <c:ptCount val="10"/>
                <c:pt idx="0">
                  <c:v>3.4201174766310598</c:v>
                </c:pt>
                <c:pt idx="1">
                  <c:v>4.9758672524677054</c:v>
                </c:pt>
                <c:pt idx="2">
                  <c:v>3.961307076098775</c:v>
                </c:pt>
                <c:pt idx="3">
                  <c:v>4.5375953822736079</c:v>
                </c:pt>
                <c:pt idx="4">
                  <c:v>3.8526788236873526</c:v>
                </c:pt>
                <c:pt idx="5">
                  <c:v>4.1918688533811812</c:v>
                </c:pt>
                <c:pt idx="6">
                  <c:v>3.6800674982426855</c:v>
                </c:pt>
                <c:pt idx="7">
                  <c:v>3.9136774113022961</c:v>
                </c:pt>
                <c:pt idx="8">
                  <c:v>3.5103050308955517</c:v>
                </c:pt>
                <c:pt idx="9">
                  <c:v>3.6848346742713982</c:v>
                </c:pt>
              </c:numCache>
            </c:numRef>
          </c:xVal>
          <c:yVal>
            <c:numRef>
              <c:f>E!$AJ$16:$AJ$25</c:f>
              <c:numCache>
                <c:formatCode>General</c:formatCode>
                <c:ptCount val="10"/>
                <c:pt idx="0">
                  <c:v>0.71035356588463849</c:v>
                </c:pt>
                <c:pt idx="1">
                  <c:v>0.62880005552260543</c:v>
                </c:pt>
                <c:pt idx="2">
                  <c:v>0.70494395108470864</c:v>
                </c:pt>
                <c:pt idx="3">
                  <c:v>0.67883488823724725</c:v>
                </c:pt>
                <c:pt idx="4">
                  <c:v>0.70697269909514326</c:v>
                </c:pt>
                <c:pt idx="5">
                  <c:v>0.69817294696863086</c:v>
                </c:pt>
                <c:pt idx="6">
                  <c:v>0.70907222224410016</c:v>
                </c:pt>
                <c:pt idx="7">
                  <c:v>0.70591076669589925</c:v>
                </c:pt>
                <c:pt idx="8">
                  <c:v>0.71011639006069216</c:v>
                </c:pt>
                <c:pt idx="9">
                  <c:v>0.70902979923540177</c:v>
                </c:pt>
              </c:numCache>
            </c:numRef>
          </c:yVal>
          <c:smooth val="0"/>
          <c:extLst>
            <c:ext xmlns:c16="http://schemas.microsoft.com/office/drawing/2014/chart" uri="{C3380CC4-5D6E-409C-BE32-E72D297353CC}">
              <c16:uniqueId val="{00000002-1BCE-4A75-BA36-C68586703A8F}"/>
            </c:ext>
          </c:extLst>
        </c:ser>
        <c:dLbls>
          <c:showLegendKey val="0"/>
          <c:showVal val="0"/>
          <c:showCatName val="0"/>
          <c:showSerName val="0"/>
          <c:showPercent val="0"/>
          <c:showBubbleSize val="0"/>
        </c:dLbls>
        <c:axId val="1866239839"/>
        <c:axId val="170578446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無次元流量</a:t>
                </a:r>
                <a:r>
                  <a:rPr lang="en-US" altLang="ja-JP"/>
                  <a:t>[-]</a:t>
                </a:r>
                <a:endParaRPr lang="ja-JP" altLang="en-US"/>
              </a:p>
            </c:rich>
          </c:tx>
          <c:layout>
            <c:manualLayout>
              <c:xMode val="edge"/>
              <c:yMode val="edge"/>
              <c:x val="0.45797997472538154"/>
              <c:y val="0.89174211248285329"/>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ポンプ効率</a:t>
                </a:r>
                <a:r>
                  <a:rPr lang="en-US" altLang="ja-JP"/>
                  <a:t>η[-]</a:t>
                </a:r>
                <a:endParaRPr lang="ja-JP" altLang="en-US"/>
              </a:p>
            </c:rich>
          </c:tx>
          <c:layout>
            <c:manualLayout>
              <c:xMode val="edge"/>
              <c:yMode val="edge"/>
              <c:x val="7.9809468260911825E-3"/>
              <c:y val="0.23006858710562419"/>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spPr>
        <a:noFill/>
        <a:ln>
          <a:noFill/>
        </a:ln>
        <a:effectLst/>
      </c:spPr>
    </c:plotArea>
    <c:legend>
      <c:legendPos val="t"/>
      <c:layout>
        <c:manualLayout>
          <c:xMode val="edge"/>
          <c:yMode val="edge"/>
          <c:x val="0"/>
          <c:y val="0"/>
          <c:w val="0.99917695473251034"/>
          <c:h val="0.112620243457222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75669326666402"/>
          <c:y val="7.0512820512820512E-2"/>
          <c:w val="0.84483091882862194"/>
          <c:h val="0.6071368618251779"/>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2.3973153567014498E-2"/>
                  <c:y val="0.3290077085702069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trendlineLbl>
          </c:trendline>
          <c:xVal>
            <c:numRef>
              <c:f>'3次式係数計算過程'!$Q$15:$Q$16</c:f>
              <c:numCache>
                <c:formatCode>General</c:formatCode>
                <c:ptCount val="2"/>
                <c:pt idx="0">
                  <c:v>0</c:v>
                </c:pt>
                <c:pt idx="1">
                  <c:v>45900</c:v>
                </c:pt>
              </c:numCache>
            </c:numRef>
          </c:xVal>
          <c:yVal>
            <c:numRef>
              <c:f>'3次式係数計算過程'!$R$15:$R$16</c:f>
              <c:numCache>
                <c:formatCode>0.0</c:formatCode>
                <c:ptCount val="2"/>
                <c:pt idx="0" formatCode="0">
                  <c:v>50</c:v>
                </c:pt>
                <c:pt idx="1">
                  <c:v>219.52</c:v>
                </c:pt>
              </c:numCache>
            </c:numRef>
          </c:yVal>
          <c:smooth val="0"/>
          <c:extLst>
            <c:ext xmlns:c16="http://schemas.microsoft.com/office/drawing/2014/chart" uri="{C3380CC4-5D6E-409C-BE32-E72D297353CC}">
              <c16:uniqueId val="{00000001-2C3B-42A3-AAF8-DD0A05F30DE7}"/>
            </c:ext>
          </c:extLst>
        </c:ser>
        <c:dLbls>
          <c:showLegendKey val="0"/>
          <c:showVal val="0"/>
          <c:showCatName val="0"/>
          <c:showSerName val="0"/>
          <c:showPercent val="0"/>
          <c:showBubbleSize val="0"/>
        </c:dLbls>
        <c:axId val="211267679"/>
        <c:axId val="286678015"/>
      </c:scatterChart>
      <c:valAx>
        <c:axId val="2112676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ltLang="ja-JP"/>
                  <a:t>2</a:t>
                </a:r>
                <a:r>
                  <a:rPr lang="ja-JP" altLang="en-US"/>
                  <a:t>次側</a:t>
                </a:r>
                <a:r>
                  <a:rPr lang="ja-JP"/>
                  <a:t>流量</a:t>
                </a:r>
                <a:r>
                  <a:rPr lang="en-US"/>
                  <a:t>[m</a:t>
                </a:r>
                <a:r>
                  <a:rPr lang="en-US" baseline="30000"/>
                  <a:t>3</a:t>
                </a:r>
                <a:r>
                  <a:rPr lang="en-US"/>
                  <a:t>/h]</a:t>
                </a:r>
                <a:endParaRPr lang="ja-JP"/>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286678015"/>
        <c:crosses val="autoZero"/>
        <c:crossBetween val="midCat"/>
      </c:valAx>
      <c:valAx>
        <c:axId val="286678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ja-JP" altLang="en-US"/>
                  <a:t>必要往還</a:t>
                </a:r>
                <a:r>
                  <a:rPr lang="ja-JP"/>
                  <a:t>差圧</a:t>
                </a:r>
                <a:r>
                  <a:rPr lang="en-US"/>
                  <a:t>[kPa]</a:t>
                </a:r>
                <a:endParaRPr lang="ja-JP"/>
              </a:p>
            </c:rich>
          </c:tx>
          <c:layout>
            <c:manualLayout>
              <c:xMode val="edge"/>
              <c:yMode val="edge"/>
              <c:x val="1.7361013132572956E-3"/>
              <c:y val="0.1063544871242899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21126767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aseline="0"/>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2854357042892"/>
          <c:y val="6.1909929397043713E-2"/>
          <c:w val="0.83998042212068824"/>
          <c:h val="0.78605885640913087"/>
        </c:manualLayout>
      </c:layout>
      <c:scatterChart>
        <c:scatterStyle val="lineMarker"/>
        <c:varyColors val="0"/>
        <c:ser>
          <c:idx val="0"/>
          <c:order val="0"/>
          <c:tx>
            <c:v>計算値</c:v>
          </c:tx>
          <c:spPr>
            <a:ln w="25400" cap="rnd">
              <a:noFill/>
              <a:round/>
            </a:ln>
            <a:effectLst/>
          </c:spPr>
          <c:marker>
            <c:symbol val="x"/>
            <c:size val="6"/>
            <c:spPr>
              <a:noFill/>
              <a:ln w="9525">
                <a:solidFill>
                  <a:schemeClr val="accent1"/>
                </a:solidFill>
              </a:ln>
              <a:effectLst/>
            </c:spPr>
          </c:marker>
          <c:trendline>
            <c:spPr>
              <a:ln w="12700" cap="rnd">
                <a:solidFill>
                  <a:schemeClr val="accent1"/>
                </a:solidFill>
                <a:prstDash val="sysDash"/>
              </a:ln>
              <a:effectLst/>
            </c:spPr>
            <c:trendlineType val="poly"/>
            <c:order val="3"/>
            <c:dispRSqr val="0"/>
            <c:dispEq val="0"/>
          </c:trendline>
          <c:xVal>
            <c:numRef>
              <c:f>'3次式係数計算過程'!$AL$13:$AL$22</c:f>
              <c:numCache>
                <c:formatCode>0.00</c:formatCode>
                <c:ptCount val="10"/>
                <c:pt idx="0">
                  <c:v>0.1</c:v>
                </c:pt>
                <c:pt idx="1">
                  <c:v>0.2</c:v>
                </c:pt>
                <c:pt idx="2">
                  <c:v>0.3</c:v>
                </c:pt>
                <c:pt idx="3">
                  <c:v>0.4</c:v>
                </c:pt>
                <c:pt idx="4">
                  <c:v>0.5</c:v>
                </c:pt>
                <c:pt idx="5">
                  <c:v>0.6</c:v>
                </c:pt>
                <c:pt idx="6">
                  <c:v>0.7</c:v>
                </c:pt>
                <c:pt idx="7">
                  <c:v>0.8</c:v>
                </c:pt>
                <c:pt idx="8">
                  <c:v>0.9</c:v>
                </c:pt>
                <c:pt idx="9">
                  <c:v>1</c:v>
                </c:pt>
              </c:numCache>
            </c:numRef>
          </c:xVal>
          <c:yVal>
            <c:numRef>
              <c:f>'3次式係数計算過程'!$AT$13:$AT$22</c:f>
              <c:numCache>
                <c:formatCode>#,##0.00_);[Red]\(#,##0.00\)</c:formatCode>
                <c:ptCount val="10"/>
                <c:pt idx="0">
                  <c:v>1.7928455310529032E-2</c:v>
                </c:pt>
                <c:pt idx="1">
                  <c:v>5.0953966267714375E-2</c:v>
                </c:pt>
                <c:pt idx="2">
                  <c:v>8.1537286940065276E-2</c:v>
                </c:pt>
                <c:pt idx="3">
                  <c:v>0.13238786770886268</c:v>
                </c:pt>
                <c:pt idx="4">
                  <c:v>0.18100689900448549</c:v>
                </c:pt>
                <c:pt idx="5">
                  <c:v>0.24799293516391971</c:v>
                </c:pt>
                <c:pt idx="6">
                  <c:v>0.31625122403531858</c:v>
                </c:pt>
                <c:pt idx="7">
                  <c:v>0.39955621458220181</c:v>
                </c:pt>
                <c:pt idx="8">
                  <c:v>0.48800804928251723</c:v>
                </c:pt>
                <c:pt idx="9">
                  <c:v>0.58803989364413145</c:v>
                </c:pt>
              </c:numCache>
            </c:numRef>
          </c:yVal>
          <c:smooth val="0"/>
          <c:extLst>
            <c:ext xmlns:c16="http://schemas.microsoft.com/office/drawing/2014/chart" uri="{C3380CC4-5D6E-409C-BE32-E72D297353CC}">
              <c16:uniqueId val="{00000001-0C5A-4993-98D3-836DEE5A1FBB}"/>
            </c:ext>
          </c:extLst>
        </c:ser>
        <c:ser>
          <c:idx val="1"/>
          <c:order val="1"/>
          <c:tx>
            <c:v>実測値</c:v>
          </c:tx>
          <c:spPr>
            <a:ln w="25400" cap="rnd">
              <a:noFill/>
              <a:round/>
            </a:ln>
            <a:effectLst/>
          </c:spPr>
          <c:marker>
            <c:symbol val="circle"/>
            <c:size val="7"/>
            <c:spPr>
              <a:solidFill>
                <a:schemeClr val="accent2"/>
              </a:solidFill>
              <a:ln w="9525">
                <a:solidFill>
                  <a:schemeClr val="accent2"/>
                </a:solidFill>
              </a:ln>
              <a:effectLst/>
            </c:spPr>
          </c:marker>
          <c:trendline>
            <c:spPr>
              <a:ln w="19050" cap="rnd">
                <a:solidFill>
                  <a:schemeClr val="accent2"/>
                </a:solidFill>
                <a:prstDash val="solid"/>
              </a:ln>
              <a:effectLst/>
            </c:spPr>
            <c:trendlineType val="poly"/>
            <c:order val="3"/>
            <c:dispRSqr val="0"/>
            <c:dispEq val="0"/>
          </c:trendline>
          <c:xVal>
            <c:numRef>
              <c:f>'3次式係数計算過程'!$AL$30:$AL$40</c:f>
              <c:numCache>
                <c:formatCode>0.00</c:formatCode>
                <c:ptCount val="11"/>
                <c:pt idx="0">
                  <c:v>9.0909090909090898E-2</c:v>
                </c:pt>
                <c:pt idx="1">
                  <c:v>0.18181818181818199</c:v>
                </c:pt>
                <c:pt idx="2">
                  <c:v>0.27272727272727298</c:v>
                </c:pt>
                <c:pt idx="3">
                  <c:v>0.36363636363636398</c:v>
                </c:pt>
                <c:pt idx="4">
                  <c:v>0.45454545454545497</c:v>
                </c:pt>
                <c:pt idx="5">
                  <c:v>0.54545454545454497</c:v>
                </c:pt>
                <c:pt idx="6">
                  <c:v>0.63636363636363635</c:v>
                </c:pt>
                <c:pt idx="7">
                  <c:v>0.72727272727272696</c:v>
                </c:pt>
                <c:pt idx="8">
                  <c:v>0.81818181818181801</c:v>
                </c:pt>
                <c:pt idx="9">
                  <c:v>0.90909090909090906</c:v>
                </c:pt>
                <c:pt idx="10">
                  <c:v>1</c:v>
                </c:pt>
              </c:numCache>
            </c:numRef>
          </c:xVal>
          <c:yVal>
            <c:numRef>
              <c:f>'3次式係数計算過程'!$AT$30:$AT$40</c:f>
              <c:numCache>
                <c:formatCode>#,##0.00_);[Red]\(#,##0.00\)</c:formatCode>
                <c:ptCount val="11"/>
                <c:pt idx="0">
                  <c:v>6.7231707414483859E-3</c:v>
                </c:pt>
                <c:pt idx="1">
                  <c:v>1.3446341482896772E-2</c:v>
                </c:pt>
                <c:pt idx="2">
                  <c:v>3.8215474700785783E-2</c:v>
                </c:pt>
                <c:pt idx="3">
                  <c:v>6.1152965205048954E-2</c:v>
                </c:pt>
                <c:pt idx="4">
                  <c:v>9.9290900781647012E-2</c:v>
                </c:pt>
                <c:pt idx="5">
                  <c:v>0.13575517425336411</c:v>
                </c:pt>
                <c:pt idx="6">
                  <c:v>0.1859947013729398</c:v>
                </c:pt>
                <c:pt idx="7">
                  <c:v>0.23718841802648893</c:v>
                </c:pt>
                <c:pt idx="8">
                  <c:v>0.29966716093665136</c:v>
                </c:pt>
                <c:pt idx="9">
                  <c:v>0.36600603696188788</c:v>
                </c:pt>
                <c:pt idx="10">
                  <c:v>0.44102992023309862</c:v>
                </c:pt>
              </c:numCache>
            </c:numRef>
          </c:yVal>
          <c:smooth val="0"/>
          <c:extLst>
            <c:ext xmlns:c16="http://schemas.microsoft.com/office/drawing/2014/chart" uri="{C3380CC4-5D6E-409C-BE32-E72D297353CC}">
              <c16:uniqueId val="{00000002-3201-4750-A196-7AC3B7015E54}"/>
            </c:ext>
          </c:extLst>
        </c:ser>
        <c:dLbls>
          <c:showLegendKey val="0"/>
          <c:showVal val="0"/>
          <c:showCatName val="0"/>
          <c:showSerName val="0"/>
          <c:showPercent val="0"/>
          <c:showBubbleSize val="0"/>
        </c:dLbls>
        <c:axId val="455223263"/>
        <c:axId val="604715951"/>
        <c:extLst/>
      </c:scatterChart>
      <c:valAx>
        <c:axId val="455223263"/>
        <c:scaling>
          <c:orientation val="minMax"/>
          <c:max val="1.100000000000000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t>流量率</a:t>
                </a:r>
                <a:r>
                  <a:rPr lang="en-US"/>
                  <a:t>[-]</a:t>
                </a:r>
                <a:endParaRPr lang="ja-JP"/>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604715951"/>
        <c:crosses val="autoZero"/>
        <c:crossBetween val="midCat"/>
        <c:majorUnit val="0.1"/>
      </c:valAx>
      <c:valAx>
        <c:axId val="604715951"/>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　消費電力を求めるための係数</a:t>
                </a:r>
                <a:r>
                  <a:rPr lang="en-US" altLang="ja-JP" baseline="30000"/>
                  <a:t>※</a:t>
                </a:r>
                <a:r>
                  <a:rPr lang="ja-JP" altLang="en-US"/>
                  <a:t> </a:t>
                </a:r>
                <a:r>
                  <a:rPr lang="en-US"/>
                  <a:t>[kW/kW]</a:t>
                </a:r>
                <a:endParaRPr lang="ja-JP"/>
              </a:p>
            </c:rich>
          </c:tx>
          <c:layout>
            <c:manualLayout>
              <c:xMode val="edge"/>
              <c:yMode val="edge"/>
              <c:x val="5.4245229777700032E-3"/>
              <c:y val="0.174968020728630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_);[Red]\(#,##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55223263"/>
        <c:crosses val="autoZero"/>
        <c:crossBetween val="midCat"/>
      </c:valAx>
      <c:spPr>
        <a:solidFill>
          <a:schemeClr val="bg1"/>
        </a:solidFill>
        <a:ln>
          <a:noFill/>
        </a:ln>
        <a:effectLst/>
      </c:spPr>
    </c:plotArea>
    <c:legend>
      <c:legendPos val="r"/>
      <c:legendEntry>
        <c:idx val="2"/>
        <c:delete val="1"/>
      </c:legendEntry>
      <c:legendEntry>
        <c:idx val="3"/>
        <c:delete val="1"/>
      </c:legendEntry>
      <c:layout>
        <c:manualLayout>
          <c:xMode val="edge"/>
          <c:yMode val="edge"/>
          <c:x val="0.12881877984275955"/>
          <c:y val="0"/>
          <c:w val="0.49769911430009722"/>
          <c:h val="6.364523681635593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aseline="0"/>
      </a:pPr>
      <a:endParaRPr lang="ja-JP"/>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71912882473677"/>
          <c:y val="9.0042002223564122E-2"/>
          <c:w val="0.79049334782664626"/>
          <c:h val="0.72708536736778551"/>
        </c:manualLayout>
      </c:layout>
      <c:scatterChart>
        <c:scatterStyle val="lineMarker"/>
        <c:varyColors val="0"/>
        <c:ser>
          <c:idx val="0"/>
          <c:order val="0"/>
          <c:tx>
            <c:v>回帰曲線</c:v>
          </c:tx>
          <c:spPr>
            <a:ln w="19050" cap="rnd">
              <a:solidFill>
                <a:schemeClr val="accent1"/>
              </a:solidFill>
              <a:round/>
            </a:ln>
            <a:effectLst/>
          </c:spPr>
          <c:marker>
            <c:symbol val="none"/>
          </c:marker>
          <c:xVal>
            <c:numRef>
              <c:f>'C1'!$FI$14:$FI$1013</c:f>
              <c:numCache>
                <c:formatCode>General</c:formatCode>
                <c:ptCount val="1000"/>
                <c:pt idx="0">
                  <c:v>14.842300559999998</c:v>
                </c:pt>
                <c:pt idx="1">
                  <c:v>60.705009284399999</c:v>
                </c:pt>
                <c:pt idx="2">
                  <c:v>106.56771800880001</c:v>
                </c:pt>
                <c:pt idx="3">
                  <c:v>152.43042673319999</c:v>
                </c:pt>
                <c:pt idx="4">
                  <c:v>198.29313545760004</c:v>
                </c:pt>
                <c:pt idx="5">
                  <c:v>244.15584418199998</c:v>
                </c:pt>
                <c:pt idx="6">
                  <c:v>290.01855290640003</c:v>
                </c:pt>
                <c:pt idx="7">
                  <c:v>335.8812616308</c:v>
                </c:pt>
                <c:pt idx="8">
                  <c:v>381.74397035519996</c:v>
                </c:pt>
                <c:pt idx="9">
                  <c:v>427.60667907959993</c:v>
                </c:pt>
                <c:pt idx="10">
                  <c:v>473.46938780400001</c:v>
                </c:pt>
                <c:pt idx="11">
                  <c:v>519.33209652840003</c:v>
                </c:pt>
                <c:pt idx="12">
                  <c:v>565.19480525279994</c:v>
                </c:pt>
                <c:pt idx="13">
                  <c:v>611.05751397719996</c:v>
                </c:pt>
                <c:pt idx="14">
                  <c:v>656.92022270159998</c:v>
                </c:pt>
                <c:pt idx="15">
                  <c:v>702.782931426</c:v>
                </c:pt>
                <c:pt idx="16">
                  <c:v>748.64564015040003</c:v>
                </c:pt>
                <c:pt idx="17">
                  <c:v>794.50834887480005</c:v>
                </c:pt>
                <c:pt idx="18">
                  <c:v>840.37105759919996</c:v>
                </c:pt>
                <c:pt idx="19">
                  <c:v>886.23376632360009</c:v>
                </c:pt>
                <c:pt idx="20">
                  <c:v>932.09647504799977</c:v>
                </c:pt>
                <c:pt idx="21">
                  <c:v>977.95918377239991</c:v>
                </c:pt>
                <c:pt idx="22">
                  <c:v>1023.8218924968</c:v>
                </c:pt>
                <c:pt idx="23">
                  <c:v>1069.6846012212002</c:v>
                </c:pt>
                <c:pt idx="24">
                  <c:v>1115.5473099455999</c:v>
                </c:pt>
                <c:pt idx="25">
                  <c:v>1161.41001867</c:v>
                </c:pt>
                <c:pt idx="26">
                  <c:v>1207.2727273943999</c:v>
                </c:pt>
                <c:pt idx="27">
                  <c:v>1253.1354361188</c:v>
                </c:pt>
                <c:pt idx="28">
                  <c:v>1298.9981448432002</c:v>
                </c:pt>
                <c:pt idx="29">
                  <c:v>1344.8608535676001</c:v>
                </c:pt>
                <c:pt idx="30">
                  <c:v>1390.723562292</c:v>
                </c:pt>
                <c:pt idx="31">
                  <c:v>1436.5862710164004</c:v>
                </c:pt>
                <c:pt idx="32">
                  <c:v>1482.4489797408003</c:v>
                </c:pt>
                <c:pt idx="33">
                  <c:v>1528.3116884651999</c:v>
                </c:pt>
                <c:pt idx="34">
                  <c:v>1574.1743971896001</c:v>
                </c:pt>
                <c:pt idx="35">
                  <c:v>1620.037105914</c:v>
                </c:pt>
                <c:pt idx="36">
                  <c:v>1665.8998146384004</c:v>
                </c:pt>
                <c:pt idx="37">
                  <c:v>1711.7625233628</c:v>
                </c:pt>
                <c:pt idx="38">
                  <c:v>1757.6252320872004</c:v>
                </c:pt>
                <c:pt idx="39">
                  <c:v>1803.4879408116003</c:v>
                </c:pt>
                <c:pt idx="40">
                  <c:v>1849.3506495360002</c:v>
                </c:pt>
                <c:pt idx="41">
                  <c:v>1895.2133582604001</c:v>
                </c:pt>
                <c:pt idx="42">
                  <c:v>1941.0760669848003</c:v>
                </c:pt>
                <c:pt idx="43">
                  <c:v>1986.9387757092004</c:v>
                </c:pt>
                <c:pt idx="44">
                  <c:v>2032.8014844336001</c:v>
                </c:pt>
                <c:pt idx="45">
                  <c:v>2078.6641931579998</c:v>
                </c:pt>
                <c:pt idx="46">
                  <c:v>2124.5269018824006</c:v>
                </c:pt>
                <c:pt idx="47">
                  <c:v>2170.3896106068005</c:v>
                </c:pt>
                <c:pt idx="48">
                  <c:v>2216.2523193312004</c:v>
                </c:pt>
                <c:pt idx="49">
                  <c:v>2262.1150280556003</c:v>
                </c:pt>
                <c:pt idx="50">
                  <c:v>2307.9777367800011</c:v>
                </c:pt>
                <c:pt idx="51">
                  <c:v>2353.8404455044001</c:v>
                </c:pt>
                <c:pt idx="52">
                  <c:v>2399.7031542288005</c:v>
                </c:pt>
                <c:pt idx="53">
                  <c:v>2445.5658629532004</c:v>
                </c:pt>
                <c:pt idx="54">
                  <c:v>2491.4285716776008</c:v>
                </c:pt>
                <c:pt idx="55">
                  <c:v>2537.2912804020002</c:v>
                </c:pt>
                <c:pt idx="56">
                  <c:v>2583.1539891264001</c:v>
                </c:pt>
                <c:pt idx="57">
                  <c:v>2629.0166978508005</c:v>
                </c:pt>
                <c:pt idx="58">
                  <c:v>2674.8794065752008</c:v>
                </c:pt>
                <c:pt idx="59">
                  <c:v>2720.7421152996003</c:v>
                </c:pt>
                <c:pt idx="60">
                  <c:v>2766.6048240240002</c:v>
                </c:pt>
                <c:pt idx="61">
                  <c:v>2812.4675327484006</c:v>
                </c:pt>
                <c:pt idx="62">
                  <c:v>2858.3302414728</c:v>
                </c:pt>
                <c:pt idx="63">
                  <c:v>2904.1929501971999</c:v>
                </c:pt>
                <c:pt idx="64">
                  <c:v>2950.0556589215998</c:v>
                </c:pt>
                <c:pt idx="65">
                  <c:v>2995.9183676460007</c:v>
                </c:pt>
                <c:pt idx="66">
                  <c:v>3041.7810763704001</c:v>
                </c:pt>
                <c:pt idx="67">
                  <c:v>3087.6437850948005</c:v>
                </c:pt>
                <c:pt idx="68">
                  <c:v>3133.5064938192004</c:v>
                </c:pt>
                <c:pt idx="69">
                  <c:v>3179.3692025436012</c:v>
                </c:pt>
                <c:pt idx="70">
                  <c:v>3225.2319112680002</c:v>
                </c:pt>
                <c:pt idx="71">
                  <c:v>3271.0946199924001</c:v>
                </c:pt>
                <c:pt idx="72">
                  <c:v>3316.9573287167996</c:v>
                </c:pt>
                <c:pt idx="73">
                  <c:v>3362.8200374412004</c:v>
                </c:pt>
                <c:pt idx="74">
                  <c:v>3408.6827461656003</c:v>
                </c:pt>
                <c:pt idx="75">
                  <c:v>3454.5454548900002</c:v>
                </c:pt>
                <c:pt idx="76">
                  <c:v>3500.4081636144006</c:v>
                </c:pt>
                <c:pt idx="77">
                  <c:v>3546.2708723388005</c:v>
                </c:pt>
                <c:pt idx="78">
                  <c:v>3592.1335810632008</c:v>
                </c:pt>
                <c:pt idx="79">
                  <c:v>3637.9962897876003</c:v>
                </c:pt>
                <c:pt idx="80">
                  <c:v>3683.8589985120002</c:v>
                </c:pt>
                <c:pt idx="81">
                  <c:v>3729.7217072364001</c:v>
                </c:pt>
                <c:pt idx="82">
                  <c:v>3775.5844159608005</c:v>
                </c:pt>
                <c:pt idx="83">
                  <c:v>3821.4471246851999</c:v>
                </c:pt>
                <c:pt idx="84">
                  <c:v>3867.3098334096012</c:v>
                </c:pt>
                <c:pt idx="85">
                  <c:v>3913.1725421340002</c:v>
                </c:pt>
                <c:pt idx="86">
                  <c:v>3959.0352508584001</c:v>
                </c:pt>
                <c:pt idx="87">
                  <c:v>4004.8979595828</c:v>
                </c:pt>
                <c:pt idx="88">
                  <c:v>4050.7606683071995</c:v>
                </c:pt>
                <c:pt idx="89">
                  <c:v>4096.6233770316003</c:v>
                </c:pt>
                <c:pt idx="90">
                  <c:v>4142.4860857559997</c:v>
                </c:pt>
                <c:pt idx="91">
                  <c:v>4188.3487944804001</c:v>
                </c:pt>
                <c:pt idx="92">
                  <c:v>4234.2115032048005</c:v>
                </c:pt>
                <c:pt idx="93">
                  <c:v>4280.0742119291999</c:v>
                </c:pt>
                <c:pt idx="94">
                  <c:v>4325.9369206536003</c:v>
                </c:pt>
                <c:pt idx="95">
                  <c:v>4371.7996293779997</c:v>
                </c:pt>
                <c:pt idx="96">
                  <c:v>4417.6623381024001</c:v>
                </c:pt>
                <c:pt idx="97">
                  <c:v>4463.5250468267996</c:v>
                </c:pt>
                <c:pt idx="98">
                  <c:v>4509.3877555512008</c:v>
                </c:pt>
                <c:pt idx="99">
                  <c:v>4555.2504642756003</c:v>
                </c:pt>
                <c:pt idx="100">
                  <c:v>4601.1131730000006</c:v>
                </c:pt>
              </c:numCache>
            </c:numRef>
          </c:xVal>
          <c:yVal>
            <c:numRef>
              <c:f>'C1'!$FH$14:$FH$1013</c:f>
              <c:numCache>
                <c:formatCode>General</c:formatCode>
                <c:ptCount val="1000"/>
                <c:pt idx="0">
                  <c:v>44.384402528759132</c:v>
                </c:pt>
                <c:pt idx="1">
                  <c:v>44.455928084427299</c:v>
                </c:pt>
                <c:pt idx="2">
                  <c:v>44.509433523738664</c:v>
                </c:pt>
                <c:pt idx="3">
                  <c:v>44.545559955107144</c:v>
                </c:pt>
                <c:pt idx="4">
                  <c:v>44.564935235877286</c:v>
                </c:pt>
                <c:pt idx="5">
                  <c:v>44.568173972324445</c:v>
                </c:pt>
                <c:pt idx="6">
                  <c:v>44.555877519654707</c:v>
                </c:pt>
                <c:pt idx="7">
                  <c:v>44.528633982004934</c:v>
                </c:pt>
                <c:pt idx="8">
                  <c:v>44.487018212442706</c:v>
                </c:pt>
                <c:pt idx="9">
                  <c:v>44.431591812966381</c:v>
                </c:pt>
                <c:pt idx="10">
                  <c:v>44.362903134505032</c:v>
                </c:pt>
                <c:pt idx="11">
                  <c:v>44.281487276918533</c:v>
                </c:pt>
                <c:pt idx="12">
                  <c:v>44.187866088997438</c:v>
                </c:pt>
                <c:pt idx="13">
                  <c:v>44.082548168463134</c:v>
                </c:pt>
                <c:pt idx="14">
                  <c:v>43.966028861967672</c:v>
                </c:pt>
                <c:pt idx="15">
                  <c:v>43.838790265093941</c:v>
                </c:pt>
                <c:pt idx="16">
                  <c:v>43.701301222355497</c:v>
                </c:pt>
                <c:pt idx="17">
                  <c:v>43.554017327196703</c:v>
                </c:pt>
                <c:pt idx="18">
                  <c:v>43.397380921992649</c:v>
                </c:pt>
                <c:pt idx="19">
                  <c:v>43.231821098049181</c:v>
                </c:pt>
                <c:pt idx="20">
                  <c:v>43.057753695602884</c:v>
                </c:pt>
                <c:pt idx="21">
                  <c:v>42.875581303821122</c:v>
                </c:pt>
                <c:pt idx="22">
                  <c:v>42.685693260801962</c:v>
                </c:pt>
                <c:pt idx="23">
                  <c:v>42.488465653574266</c:v>
                </c:pt>
                <c:pt idx="24">
                  <c:v>42.284261318097613</c:v>
                </c:pt>
                <c:pt idx="25">
                  <c:v>42.07342983926236</c:v>
                </c:pt>
                <c:pt idx="26">
                  <c:v>41.856307550889596</c:v>
                </c:pt>
                <c:pt idx="27">
                  <c:v>41.633217535731177</c:v>
                </c:pt>
                <c:pt idx="28">
                  <c:v>41.404469625469673</c:v>
                </c:pt>
                <c:pt idx="29">
                  <c:v>41.170360400718437</c:v>
                </c:pt>
                <c:pt idx="30">
                  <c:v>40.931173191021571</c:v>
                </c:pt>
                <c:pt idx="31">
                  <c:v>40.687178074853911</c:v>
                </c:pt>
                <c:pt idx="32">
                  <c:v>40.438631879621042</c:v>
                </c:pt>
                <c:pt idx="33">
                  <c:v>40.185778181659323</c:v>
                </c:pt>
                <c:pt idx="34">
                  <c:v>39.928847306235845</c:v>
                </c:pt>
                <c:pt idx="35">
                  <c:v>39.668056327548449</c:v>
                </c:pt>
                <c:pt idx="36">
                  <c:v>39.403609068725707</c:v>
                </c:pt>
                <c:pt idx="37">
                  <c:v>39.135696101826994</c:v>
                </c:pt>
                <c:pt idx="38">
                  <c:v>38.8644947478424</c:v>
                </c:pt>
                <c:pt idx="39">
                  <c:v>38.590169076692746</c:v>
                </c:pt>
                <c:pt idx="40">
                  <c:v>38.312869907229647</c:v>
                </c:pt>
                <c:pt idx="41">
                  <c:v>38.032734807235428</c:v>
                </c:pt>
                <c:pt idx="42">
                  <c:v>37.749888093423195</c:v>
                </c:pt>
                <c:pt idx="43">
                  <c:v>37.464440831436789</c:v>
                </c:pt>
                <c:pt idx="44">
                  <c:v>37.176490835850807</c:v>
                </c:pt>
                <c:pt idx="45">
                  <c:v>36.886122670170586</c:v>
                </c:pt>
                <c:pt idx="46">
                  <c:v>36.593407646832205</c:v>
                </c:pt>
                <c:pt idx="47">
                  <c:v>36.298403827202534</c:v>
                </c:pt>
                <c:pt idx="48">
                  <c:v>36.001156021579156</c:v>
                </c:pt>
                <c:pt idx="49">
                  <c:v>35.70169578919041</c:v>
                </c:pt>
                <c:pt idx="50">
                  <c:v>35.40004143819538</c:v>
                </c:pt>
                <c:pt idx="51">
                  <c:v>35.096198025683933</c:v>
                </c:pt>
                <c:pt idx="52">
                  <c:v>34.790157357676648</c:v>
                </c:pt>
                <c:pt idx="53">
                  <c:v>34.481897989124853</c:v>
                </c:pt>
                <c:pt idx="54">
                  <c:v>34.171385223910661</c:v>
                </c:pt>
                <c:pt idx="55">
                  <c:v>33.85857111484691</c:v>
                </c:pt>
                <c:pt idx="56">
                  <c:v>33.54339446367721</c:v>
                </c:pt>
                <c:pt idx="57">
                  <c:v>33.225780821075858</c:v>
                </c:pt>
                <c:pt idx="58">
                  <c:v>32.905642486647992</c:v>
                </c:pt>
                <c:pt idx="59">
                  <c:v>32.582878508929426</c:v>
                </c:pt>
                <c:pt idx="60">
                  <c:v>32.257374685386779</c:v>
                </c:pt>
                <c:pt idx="61">
                  <c:v>31.92900356241736</c:v>
                </c:pt>
                <c:pt idx="62">
                  <c:v>31.597624435349282</c:v>
                </c:pt>
                <c:pt idx="63">
                  <c:v>31.263083348441391</c:v>
                </c:pt>
                <c:pt idx="64">
                  <c:v>30.925213094883272</c:v>
                </c:pt>
                <c:pt idx="65">
                  <c:v>30.583833216795263</c:v>
                </c:pt>
                <c:pt idx="66">
                  <c:v>30.238750005228482</c:v>
                </c:pt>
                <c:pt idx="67">
                  <c:v>29.88975650016474</c:v>
                </c:pt>
                <c:pt idx="68">
                  <c:v>29.536632490516631</c:v>
                </c:pt>
                <c:pt idx="69">
                  <c:v>29.179144514127515</c:v>
                </c:pt>
                <c:pt idx="70">
                  <c:v>28.817045857771475</c:v>
                </c:pt>
                <c:pt idx="71">
                  <c:v>28.450076557153345</c:v>
                </c:pt>
                <c:pt idx="72">
                  <c:v>28.077963396908757</c:v>
                </c:pt>
                <c:pt idx="73">
                  <c:v>27.700419910603998</c:v>
                </c:pt>
                <c:pt idx="74">
                  <c:v>27.31714638073619</c:v>
                </c:pt>
                <c:pt idx="75">
                  <c:v>26.927829838733167</c:v>
                </c:pt>
                <c:pt idx="76">
                  <c:v>26.532144064953531</c:v>
                </c:pt>
                <c:pt idx="77">
                  <c:v>26.129749588686614</c:v>
                </c:pt>
                <c:pt idx="78">
                  <c:v>25.720293688152509</c:v>
                </c:pt>
                <c:pt idx="79">
                  <c:v>25.303410390502066</c:v>
                </c:pt>
                <c:pt idx="80">
                  <c:v>24.878720471816884</c:v>
                </c:pt>
                <c:pt idx="81">
                  <c:v>24.445831457109264</c:v>
                </c:pt>
                <c:pt idx="82">
                  <c:v>24.004337620322342</c:v>
                </c:pt>
                <c:pt idx="83">
                  <c:v>23.553819984329945</c:v>
                </c:pt>
                <c:pt idx="84">
                  <c:v>23.09384632093666</c:v>
                </c:pt>
                <c:pt idx="85">
                  <c:v>22.623971150877839</c:v>
                </c:pt>
                <c:pt idx="86">
                  <c:v>22.143735743819562</c:v>
                </c:pt>
                <c:pt idx="87">
                  <c:v>21.652668118358687</c:v>
                </c:pt>
                <c:pt idx="88">
                  <c:v>21.150283042022771</c:v>
                </c:pt>
                <c:pt idx="89">
                  <c:v>20.636082031270185</c:v>
                </c:pt>
                <c:pt idx="90">
                  <c:v>20.109553351490035</c:v>
                </c:pt>
                <c:pt idx="91">
                  <c:v>19.570172017002129</c:v>
                </c:pt>
                <c:pt idx="92">
                  <c:v>19.017399791057073</c:v>
                </c:pt>
                <c:pt idx="93">
                  <c:v>18.450685185836218</c:v>
                </c:pt>
                <c:pt idx="94">
                  <c:v>17.869463462451659</c:v>
                </c:pt>
                <c:pt idx="95">
                  <c:v>17.273156630946197</c:v>
                </c:pt>
                <c:pt idx="96">
                  <c:v>16.661173450293472</c:v>
                </c:pt>
                <c:pt idx="97">
                  <c:v>16.032909428397769</c:v>
                </c:pt>
                <c:pt idx="98">
                  <c:v>15.387746822094256</c:v>
                </c:pt>
                <c:pt idx="99">
                  <c:v>14.725054637148713</c:v>
                </c:pt>
                <c:pt idx="100">
                  <c:v>14.044188628257769</c:v>
                </c:pt>
              </c:numCache>
            </c:numRef>
          </c:yVal>
          <c:smooth val="0"/>
          <c:extLst>
            <c:ext xmlns:c16="http://schemas.microsoft.com/office/drawing/2014/chart" uri="{C3380CC4-5D6E-409C-BE32-E72D297353CC}">
              <c16:uniqueId val="{00000000-6EE3-41CB-A862-19E49691ED5E}"/>
            </c:ext>
          </c:extLst>
        </c:ser>
        <c:dLbls>
          <c:showLegendKey val="0"/>
          <c:showVal val="0"/>
          <c:showCatName val="0"/>
          <c:showSerName val="0"/>
          <c:showPercent val="0"/>
          <c:showBubbleSize val="0"/>
        </c:dLbls>
        <c:axId val="1866239839"/>
        <c:axId val="1705784463"/>
        <c:extLst>
          <c:ext xmlns:c15="http://schemas.microsoft.com/office/drawing/2012/chart" uri="{02D57815-91ED-43cb-92C2-25804820EDAC}">
            <c15:filteredScatterSeries>
              <c15:ser>
                <c:idx val="1"/>
                <c:order val="1"/>
                <c:tx>
                  <c:v>サンプルデータ</c:v>
                </c:tx>
                <c:spPr>
                  <a:ln w="19050" cap="rnd">
                    <a:noFill/>
                    <a:round/>
                  </a:ln>
                  <a:effectLst/>
                </c:spPr>
                <c:marker>
                  <c:symbol val="circle"/>
                  <c:size val="8"/>
                  <c:spPr>
                    <a:noFill/>
                    <a:ln w="9525">
                      <a:solidFill>
                        <a:schemeClr val="accent1"/>
                      </a:solidFill>
                    </a:ln>
                    <a:effectLst/>
                  </c:spPr>
                </c:marker>
                <c:xVal>
                  <c:numRef>
                    <c:extLst>
                      <c:ext uri="{02D57815-91ED-43cb-92C2-25804820EDAC}">
                        <c15:formulaRef>
                          <c15:sqref>'C1'!$FP$14:$FP$1013</c15:sqref>
                        </c15:formulaRef>
                      </c:ext>
                    </c:extLst>
                    <c:numCache>
                      <c:formatCode>General</c:formatCode>
                      <c:ptCount val="1000"/>
                      <c:pt idx="0">
                        <c:v>14.842300559999998</c:v>
                      </c:pt>
                      <c:pt idx="1">
                        <c:v>163.26530610000003</c:v>
                      </c:pt>
                      <c:pt idx="2">
                        <c:v>326.53061220000006</c:v>
                      </c:pt>
                      <c:pt idx="3">
                        <c:v>482.37476809999998</c:v>
                      </c:pt>
                      <c:pt idx="4">
                        <c:v>667.90352499999983</c:v>
                      </c:pt>
                      <c:pt idx="5">
                        <c:v>823.74768090000009</c:v>
                      </c:pt>
                      <c:pt idx="6">
                        <c:v>935.06493509999996</c:v>
                      </c:pt>
                      <c:pt idx="7">
                        <c:v>1046.3821889999999</c:v>
                      </c:pt>
                      <c:pt idx="8">
                        <c:v>1179.962894</c:v>
                      </c:pt>
                      <c:pt idx="9">
                        <c:v>1350.649351</c:v>
                      </c:pt>
                      <c:pt idx="10">
                        <c:v>1528.7569570000003</c:v>
                      </c:pt>
                      <c:pt idx="11">
                        <c:v>1721.7068650000006</c:v>
                      </c:pt>
                      <c:pt idx="12">
                        <c:v>1870.1298699999998</c:v>
                      </c:pt>
                      <c:pt idx="13">
                        <c:v>2063.0797769999999</c:v>
                      </c:pt>
                      <c:pt idx="14">
                        <c:v>2211.5027829999995</c:v>
                      </c:pt>
                      <c:pt idx="15">
                        <c:v>2404.4526900000005</c:v>
                      </c:pt>
                      <c:pt idx="16">
                        <c:v>2619.666048</c:v>
                      </c:pt>
                      <c:pt idx="17">
                        <c:v>2812.6159550000007</c:v>
                      </c:pt>
                      <c:pt idx="18">
                        <c:v>2953.6178110000001</c:v>
                      </c:pt>
                      <c:pt idx="19">
                        <c:v>3072.3562149999993</c:v>
                      </c:pt>
                      <c:pt idx="20">
                        <c:v>3191.0946199999998</c:v>
                      </c:pt>
                      <c:pt idx="21">
                        <c:v>3361.7810760000016</c:v>
                      </c:pt>
                      <c:pt idx="22">
                        <c:v>3465.6771800000001</c:v>
                      </c:pt>
                      <c:pt idx="23">
                        <c:v>3569.5732840000001</c:v>
                      </c:pt>
                      <c:pt idx="24">
                        <c:v>3703.1539889999999</c:v>
                      </c:pt>
                      <c:pt idx="25">
                        <c:v>3836.7346940000007</c:v>
                      </c:pt>
                      <c:pt idx="26">
                        <c:v>3962.8942489999995</c:v>
                      </c:pt>
                      <c:pt idx="27">
                        <c:v>4103.8961040000004</c:v>
                      </c:pt>
                      <c:pt idx="28">
                        <c:v>4207.7922079999998</c:v>
                      </c:pt>
                      <c:pt idx="29">
                        <c:v>4296.8460109999987</c:v>
                      </c:pt>
                      <c:pt idx="30">
                        <c:v>4371.0575140000001</c:v>
                      </c:pt>
                      <c:pt idx="31">
                        <c:v>4437.8478660000001</c:v>
                      </c:pt>
                      <c:pt idx="32">
                        <c:v>4512.0593689999987</c:v>
                      </c:pt>
                      <c:pt idx="33">
                        <c:v>4601.1131730000006</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extLst>
                      <c:ext uri="{02D57815-91ED-43cb-92C2-25804820EDAC}">
                        <c15:formulaRef>
                          <c15:sqref>'C1'!$FO$14:$FO$1013</c15:sqref>
                        </c15:formulaRef>
                      </c:ext>
                    </c:extLst>
                    <c:numCache>
                      <c:formatCode>General</c:formatCode>
                      <c:ptCount val="1000"/>
                      <c:pt idx="0">
                        <c:v>44.423963130000004</c:v>
                      </c:pt>
                      <c:pt idx="1">
                        <c:v>44.516129029999995</c:v>
                      </c:pt>
                      <c:pt idx="2">
                        <c:v>44.33179724</c:v>
                      </c:pt>
                      <c:pt idx="3">
                        <c:v>44.423963130000004</c:v>
                      </c:pt>
                      <c:pt idx="4">
                        <c:v>43.963133640000002</c:v>
                      </c:pt>
                      <c:pt idx="5">
                        <c:v>43.502304150000008</c:v>
                      </c:pt>
                      <c:pt idx="6">
                        <c:v>43.133640550000003</c:v>
                      </c:pt>
                      <c:pt idx="7">
                        <c:v>42.764976959999991</c:v>
                      </c:pt>
                      <c:pt idx="8">
                        <c:v>42.027649769999996</c:v>
                      </c:pt>
                      <c:pt idx="9">
                        <c:v>41.198156680000004</c:v>
                      </c:pt>
                      <c:pt idx="10">
                        <c:v>40.092165899999991</c:v>
                      </c:pt>
                      <c:pt idx="11">
                        <c:v>38.986175119999999</c:v>
                      </c:pt>
                      <c:pt idx="12">
                        <c:v>37.972350230000004</c:v>
                      </c:pt>
                      <c:pt idx="13">
                        <c:v>37.050691240000006</c:v>
                      </c:pt>
                      <c:pt idx="14">
                        <c:v>35.944700460000014</c:v>
                      </c:pt>
                      <c:pt idx="15">
                        <c:v>34.562211980000008</c:v>
                      </c:pt>
                      <c:pt idx="16">
                        <c:v>33.179723500000009</c:v>
                      </c:pt>
                      <c:pt idx="17">
                        <c:v>31.981566820000001</c:v>
                      </c:pt>
                      <c:pt idx="18">
                        <c:v>31.059907830000004</c:v>
                      </c:pt>
                      <c:pt idx="19">
                        <c:v>30.046082949999999</c:v>
                      </c:pt>
                      <c:pt idx="20">
                        <c:v>29.124423959999998</c:v>
                      </c:pt>
                      <c:pt idx="21">
                        <c:v>28.110599080000004</c:v>
                      </c:pt>
                      <c:pt idx="22">
                        <c:v>27.004608289999997</c:v>
                      </c:pt>
                      <c:pt idx="23">
                        <c:v>25.898617510000001</c:v>
                      </c:pt>
                      <c:pt idx="24">
                        <c:v>24.608294930000003</c:v>
                      </c:pt>
                      <c:pt idx="25">
                        <c:v>23.317972350000002</c:v>
                      </c:pt>
                      <c:pt idx="26">
                        <c:v>22.119815669999994</c:v>
                      </c:pt>
                      <c:pt idx="27">
                        <c:v>20.460829489999995</c:v>
                      </c:pt>
                      <c:pt idx="28">
                        <c:v>19.170506910000004</c:v>
                      </c:pt>
                      <c:pt idx="29">
                        <c:v>18.064516129999998</c:v>
                      </c:pt>
                      <c:pt idx="30">
                        <c:v>17.142857140000004</c:v>
                      </c:pt>
                      <c:pt idx="31">
                        <c:v>16.221198160000004</c:v>
                      </c:pt>
                      <c:pt idx="32">
                        <c:v>15.483870970000003</c:v>
                      </c:pt>
                      <c:pt idx="33">
                        <c:v>14.377880179999998</c:v>
                      </c:pt>
                    </c:numCache>
                  </c:numRef>
                </c:yVal>
                <c:smooth val="0"/>
                <c:extLst>
                  <c:ext xmlns:c16="http://schemas.microsoft.com/office/drawing/2014/chart" uri="{C3380CC4-5D6E-409C-BE32-E72D297353CC}">
                    <c16:uniqueId val="{00000001-6EE3-41CB-A862-19E49691ED5E}"/>
                  </c:ext>
                </c:extLst>
              </c15:ser>
            </c15:filteredScatterSeries>
          </c:ext>
        </c:extLst>
      </c:scatterChart>
      <c:scatterChart>
        <c:scatterStyle val="lineMarker"/>
        <c:varyColors val="0"/>
        <c:ser>
          <c:idx val="2"/>
          <c:order val="2"/>
          <c:tx>
            <c:v>定格流量</c:v>
          </c:tx>
          <c:spPr>
            <a:ln w="19050" cap="rnd">
              <a:solidFill>
                <a:srgbClr val="FF0000"/>
              </a:solidFill>
              <a:prstDash val="sysDot"/>
              <a:round/>
            </a:ln>
            <a:effectLst/>
          </c:spPr>
          <c:marker>
            <c:symbol val="none"/>
          </c:marker>
          <c:xVal>
            <c:numRef>
              <c:f>'C1'!$FT$14:$FT$15</c:f>
              <c:numCache>
                <c:formatCode>General</c:formatCode>
                <c:ptCount val="2"/>
                <c:pt idx="0">
                  <c:v>2550</c:v>
                </c:pt>
                <c:pt idx="1">
                  <c:v>2550</c:v>
                </c:pt>
              </c:numCache>
            </c:numRef>
          </c:xVal>
          <c:yVal>
            <c:numRef>
              <c:f>'C1'!$FS$14:$FS$15</c:f>
              <c:numCache>
                <c:formatCode>General</c:formatCode>
                <c:ptCount val="2"/>
                <c:pt idx="0">
                  <c:v>0</c:v>
                </c:pt>
                <c:pt idx="1">
                  <c:v>1</c:v>
                </c:pt>
              </c:numCache>
            </c:numRef>
          </c:yVal>
          <c:smooth val="0"/>
          <c:extLst>
            <c:ext xmlns:c16="http://schemas.microsoft.com/office/drawing/2014/chart" uri="{C3380CC4-5D6E-409C-BE32-E72D297353CC}">
              <c16:uniqueId val="{00000002-6EE3-41CB-A862-19E49691ED5E}"/>
            </c:ext>
          </c:extLst>
        </c:ser>
        <c:dLbls>
          <c:showLegendKey val="0"/>
          <c:showVal val="0"/>
          <c:showCatName val="0"/>
          <c:showSerName val="0"/>
          <c:showPercent val="0"/>
          <c:showBubbleSize val="0"/>
        </c:dLbls>
        <c:axId val="594222575"/>
        <c:axId val="594222079"/>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strRef>
              <c:f>'C1'!$FI$13</c:f>
              <c:strCache>
                <c:ptCount val="1"/>
                <c:pt idx="0">
                  <c:v>L/s</c:v>
                </c:pt>
              </c:strCache>
            </c:strRef>
          </c:tx>
          <c:layout>
            <c:manualLayout>
              <c:xMode val="edge"/>
              <c:yMode val="edge"/>
              <c:x val="0.51576576622569337"/>
              <c:y val="0.91396951346836497"/>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strRef>
              <c:f>'C1'!$FH$13</c:f>
              <c:strCache>
                <c:ptCount val="1"/>
                <c:pt idx="0">
                  <c:v>m</c:v>
                </c:pt>
              </c:strCache>
            </c:strRef>
          </c:tx>
          <c:layout>
            <c:manualLayout>
              <c:xMode val="edge"/>
              <c:yMode val="edge"/>
              <c:x val="2.0648070000822957E-2"/>
              <c:y val="0.40811643236470968"/>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valAx>
        <c:axId val="594222079"/>
        <c:scaling>
          <c:orientation val="minMax"/>
          <c:max val="1"/>
        </c:scaling>
        <c:delete val="0"/>
        <c:axPos val="r"/>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4222575"/>
        <c:crosses val="max"/>
        <c:crossBetween val="midCat"/>
      </c:valAx>
      <c:valAx>
        <c:axId val="594222575"/>
        <c:scaling>
          <c:orientation val="minMax"/>
        </c:scaling>
        <c:delete val="1"/>
        <c:axPos val="b"/>
        <c:numFmt formatCode="General" sourceLinked="1"/>
        <c:majorTickMark val="out"/>
        <c:minorTickMark val="none"/>
        <c:tickLblPos val="nextTo"/>
        <c:crossAx val="594222079"/>
        <c:crosses val="autoZero"/>
        <c:crossBetween val="midCat"/>
      </c:valAx>
      <c:spPr>
        <a:solidFill>
          <a:schemeClr val="bg1"/>
        </a:solidFill>
        <a:ln>
          <a:noFill/>
        </a:ln>
        <a:effectLst/>
      </c:spPr>
    </c:plotArea>
    <c:legend>
      <c:legendPos val="t"/>
      <c:legendEntry>
        <c:idx val="0"/>
        <c:delete val="1"/>
      </c:legendEntry>
      <c:layout>
        <c:manualLayout>
          <c:xMode val="edge"/>
          <c:yMode val="edge"/>
          <c:x val="0.15685451271816803"/>
          <c:y val="4.9382716049382715E-3"/>
          <c:w val="0.79127668920236605"/>
          <c:h val="8.69129988204951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71912882473677"/>
          <c:y val="9.0042002223564122E-2"/>
          <c:w val="0.79049334782664626"/>
          <c:h val="0.72708536736778551"/>
        </c:manualLayout>
      </c:layout>
      <c:scatterChart>
        <c:scatterStyle val="lineMarker"/>
        <c:varyColors val="0"/>
        <c:ser>
          <c:idx val="0"/>
          <c:order val="0"/>
          <c:tx>
            <c:v>回帰曲線</c:v>
          </c:tx>
          <c:spPr>
            <a:ln w="19050" cap="rnd">
              <a:solidFill>
                <a:schemeClr val="accent1"/>
              </a:solidFill>
              <a:round/>
            </a:ln>
            <a:effectLst/>
          </c:spPr>
          <c:marker>
            <c:symbol val="none"/>
          </c:marker>
          <c:xVal>
            <c:numRef>
              <c:f>'C2'!$BJ$14:$BJ$1013</c:f>
              <c:numCache>
                <c:formatCode>General</c:formatCode>
                <c:ptCount val="1000"/>
                <c:pt idx="0">
                  <c:v>0</c:v>
                </c:pt>
                <c:pt idx="1">
                  <c:v>46.011131730000002</c:v>
                </c:pt>
                <c:pt idx="2">
                  <c:v>92.022263460000005</c:v>
                </c:pt>
                <c:pt idx="3">
                  <c:v>138.03339518999999</c:v>
                </c:pt>
                <c:pt idx="4">
                  <c:v>184.04452692000001</c:v>
                </c:pt>
                <c:pt idx="5">
                  <c:v>230.05565864999997</c:v>
                </c:pt>
                <c:pt idx="6">
                  <c:v>276.06679037999999</c:v>
                </c:pt>
                <c:pt idx="7">
                  <c:v>322.07792210999997</c:v>
                </c:pt>
                <c:pt idx="8">
                  <c:v>368.08905384000002</c:v>
                </c:pt>
                <c:pt idx="9">
                  <c:v>414.10018557000001</c:v>
                </c:pt>
                <c:pt idx="10">
                  <c:v>460.11131729999994</c:v>
                </c:pt>
                <c:pt idx="11">
                  <c:v>506.12244903000004</c:v>
                </c:pt>
                <c:pt idx="12">
                  <c:v>552.13358075999997</c:v>
                </c:pt>
                <c:pt idx="13">
                  <c:v>598.14471248999996</c:v>
                </c:pt>
                <c:pt idx="14">
                  <c:v>644.15584421999995</c:v>
                </c:pt>
                <c:pt idx="15">
                  <c:v>690.16697595000016</c:v>
                </c:pt>
                <c:pt idx="16">
                  <c:v>736.17810768000004</c:v>
                </c:pt>
                <c:pt idx="17">
                  <c:v>782.18923941000003</c:v>
                </c:pt>
                <c:pt idx="18">
                  <c:v>828.20037114000002</c:v>
                </c:pt>
                <c:pt idx="19">
                  <c:v>874.21150287</c:v>
                </c:pt>
                <c:pt idx="20">
                  <c:v>920.22263459999988</c:v>
                </c:pt>
                <c:pt idx="21">
                  <c:v>966.23376633000009</c:v>
                </c:pt>
                <c:pt idx="22">
                  <c:v>1012.2448980600001</c:v>
                </c:pt>
                <c:pt idx="23">
                  <c:v>1058.2560297900002</c:v>
                </c:pt>
                <c:pt idx="24">
                  <c:v>1104.2671615199999</c:v>
                </c:pt>
                <c:pt idx="25">
                  <c:v>1150.2782932500002</c:v>
                </c:pt>
                <c:pt idx="26">
                  <c:v>1196.2894249799999</c:v>
                </c:pt>
                <c:pt idx="27">
                  <c:v>1242.3005567100001</c:v>
                </c:pt>
                <c:pt idx="28">
                  <c:v>1288.3116884399999</c:v>
                </c:pt>
                <c:pt idx="29">
                  <c:v>1334.3228201700001</c:v>
                </c:pt>
                <c:pt idx="30">
                  <c:v>1380.3339519000003</c:v>
                </c:pt>
                <c:pt idx="31">
                  <c:v>1426.3450836300001</c:v>
                </c:pt>
                <c:pt idx="32">
                  <c:v>1472.3562153600001</c:v>
                </c:pt>
                <c:pt idx="33">
                  <c:v>1518.3673470899998</c:v>
                </c:pt>
                <c:pt idx="34">
                  <c:v>1564.3784788200001</c:v>
                </c:pt>
                <c:pt idx="35">
                  <c:v>1610.3896105499998</c:v>
                </c:pt>
                <c:pt idx="36">
                  <c:v>1656.40074228</c:v>
                </c:pt>
                <c:pt idx="37">
                  <c:v>1702.4118740100002</c:v>
                </c:pt>
                <c:pt idx="38">
                  <c:v>1748.42300574</c:v>
                </c:pt>
                <c:pt idx="39">
                  <c:v>1794.43413747</c:v>
                </c:pt>
                <c:pt idx="40">
                  <c:v>1840.4452691999998</c:v>
                </c:pt>
                <c:pt idx="41">
                  <c:v>1886.45640093</c:v>
                </c:pt>
                <c:pt idx="42">
                  <c:v>1932.4675326600002</c:v>
                </c:pt>
                <c:pt idx="43">
                  <c:v>1978.4786643900006</c:v>
                </c:pt>
                <c:pt idx="44">
                  <c:v>2024.4897961200002</c:v>
                </c:pt>
                <c:pt idx="45">
                  <c:v>2070.5009278499997</c:v>
                </c:pt>
                <c:pt idx="46">
                  <c:v>2116.5120595800004</c:v>
                </c:pt>
                <c:pt idx="47">
                  <c:v>2162.5231913100001</c:v>
                </c:pt>
                <c:pt idx="48">
                  <c:v>2208.5343230399999</c:v>
                </c:pt>
                <c:pt idx="49">
                  <c:v>2254.5454547700001</c:v>
                </c:pt>
                <c:pt idx="50">
                  <c:v>2300.5565865000003</c:v>
                </c:pt>
                <c:pt idx="51">
                  <c:v>2346.5677182300001</c:v>
                </c:pt>
                <c:pt idx="52">
                  <c:v>2392.5788499599998</c:v>
                </c:pt>
                <c:pt idx="53">
                  <c:v>2438.5899816900005</c:v>
                </c:pt>
                <c:pt idx="54">
                  <c:v>2484.6011134200003</c:v>
                </c:pt>
                <c:pt idx="55">
                  <c:v>2530.6122451499996</c:v>
                </c:pt>
                <c:pt idx="56">
                  <c:v>2576.6233768799998</c:v>
                </c:pt>
                <c:pt idx="57">
                  <c:v>2622.63450861</c:v>
                </c:pt>
                <c:pt idx="58">
                  <c:v>2668.6456403400002</c:v>
                </c:pt>
                <c:pt idx="59">
                  <c:v>2714.6567720699995</c:v>
                </c:pt>
                <c:pt idx="60">
                  <c:v>2760.6679038000007</c:v>
                </c:pt>
                <c:pt idx="61">
                  <c:v>2806.6790355300004</c:v>
                </c:pt>
                <c:pt idx="62">
                  <c:v>2852.6901672600002</c:v>
                </c:pt>
                <c:pt idx="63">
                  <c:v>2898.7012989899999</c:v>
                </c:pt>
                <c:pt idx="64">
                  <c:v>2944.7124307200002</c:v>
                </c:pt>
                <c:pt idx="65">
                  <c:v>2990.7235624500004</c:v>
                </c:pt>
                <c:pt idx="66">
                  <c:v>3036.7346941799997</c:v>
                </c:pt>
                <c:pt idx="67">
                  <c:v>3082.7458259099999</c:v>
                </c:pt>
                <c:pt idx="68">
                  <c:v>3128.7569576400001</c:v>
                </c:pt>
                <c:pt idx="69">
                  <c:v>3174.7680893699999</c:v>
                </c:pt>
                <c:pt idx="70">
                  <c:v>3220.7792210999996</c:v>
                </c:pt>
                <c:pt idx="71">
                  <c:v>3266.7903528300003</c:v>
                </c:pt>
                <c:pt idx="72">
                  <c:v>3312.8014845600001</c:v>
                </c:pt>
                <c:pt idx="73">
                  <c:v>3358.8126162899998</c:v>
                </c:pt>
                <c:pt idx="74">
                  <c:v>3404.8237480200005</c:v>
                </c:pt>
                <c:pt idx="75">
                  <c:v>3450.8348797499998</c:v>
                </c:pt>
                <c:pt idx="76">
                  <c:v>3496.84601148</c:v>
                </c:pt>
                <c:pt idx="77">
                  <c:v>3542.8571432100002</c:v>
                </c:pt>
                <c:pt idx="78">
                  <c:v>3588.86827494</c:v>
                </c:pt>
                <c:pt idx="79">
                  <c:v>3634.8794066700011</c:v>
                </c:pt>
                <c:pt idx="80">
                  <c:v>3680.8905383999995</c:v>
                </c:pt>
                <c:pt idx="81">
                  <c:v>3726.9016701299993</c:v>
                </c:pt>
                <c:pt idx="82">
                  <c:v>3772.9128018599999</c:v>
                </c:pt>
                <c:pt idx="83">
                  <c:v>3818.9239335900006</c:v>
                </c:pt>
                <c:pt idx="84">
                  <c:v>3864.9350653200004</c:v>
                </c:pt>
                <c:pt idx="85">
                  <c:v>3910.9461970500001</c:v>
                </c:pt>
                <c:pt idx="86">
                  <c:v>3956.9573287800013</c:v>
                </c:pt>
                <c:pt idx="87">
                  <c:v>4002.9684605099997</c:v>
                </c:pt>
                <c:pt idx="88">
                  <c:v>4048.9795922400003</c:v>
                </c:pt>
                <c:pt idx="89">
                  <c:v>4094.9907239700001</c:v>
                </c:pt>
                <c:pt idx="90">
                  <c:v>4141.0018556999994</c:v>
                </c:pt>
                <c:pt idx="91">
                  <c:v>4187.0129874300001</c:v>
                </c:pt>
                <c:pt idx="92">
                  <c:v>4233.0241191600007</c:v>
                </c:pt>
                <c:pt idx="93">
                  <c:v>4279.0352508900005</c:v>
                </c:pt>
                <c:pt idx="94">
                  <c:v>4325.0463826200003</c:v>
                </c:pt>
                <c:pt idx="95">
                  <c:v>4371.0575143499991</c:v>
                </c:pt>
                <c:pt idx="96">
                  <c:v>4417.0686460799998</c:v>
                </c:pt>
                <c:pt idx="97">
                  <c:v>4463.0797778100014</c:v>
                </c:pt>
                <c:pt idx="98">
                  <c:v>4509.0909095400002</c:v>
                </c:pt>
                <c:pt idx="99">
                  <c:v>4555.10204127</c:v>
                </c:pt>
                <c:pt idx="100">
                  <c:v>4601.1131730000006</c:v>
                </c:pt>
              </c:numCache>
            </c:numRef>
          </c:xVal>
          <c:yVal>
            <c:numRef>
              <c:f>'C2'!$BI$14:$BI$1013</c:f>
              <c:numCache>
                <c:formatCode>General</c:formatCode>
                <c:ptCount val="1000"/>
                <c:pt idx="0">
                  <c:v>-1.5054836501088742</c:v>
                </c:pt>
                <c:pt idx="1">
                  <c:v>3.1011015163351772</c:v>
                </c:pt>
                <c:pt idx="2">
                  <c:v>7.4787440159153729</c:v>
                </c:pt>
                <c:pt idx="3">
                  <c:v>11.635382895214674</c:v>
                </c:pt>
                <c:pt idx="4">
                  <c:v>15.578813039262062</c:v>
                </c:pt>
                <c:pt idx="5">
                  <c:v>19.316685171532534</c:v>
                </c:pt>
                <c:pt idx="6">
                  <c:v>22.856505853947095</c:v>
                </c:pt>
                <c:pt idx="7">
                  <c:v>26.205637486872778</c:v>
                </c:pt>
                <c:pt idx="8">
                  <c:v>29.37129830912264</c:v>
                </c:pt>
                <c:pt idx="9">
                  <c:v>32.360562397955711</c:v>
                </c:pt>
                <c:pt idx="10">
                  <c:v>35.180359669077099</c:v>
                </c:pt>
                <c:pt idx="11">
                  <c:v>37.837475876637875</c:v>
                </c:pt>
                <c:pt idx="12">
                  <c:v>40.338552613235152</c:v>
                </c:pt>
                <c:pt idx="13">
                  <c:v>42.690087309912059</c:v>
                </c:pt>
                <c:pt idx="14">
                  <c:v>44.898433236157729</c:v>
                </c:pt>
                <c:pt idx="15">
                  <c:v>46.969799499907332</c:v>
                </c:pt>
                <c:pt idx="16">
                  <c:v>48.910251047542033</c:v>
                </c:pt>
                <c:pt idx="17">
                  <c:v>50.725708663889016</c:v>
                </c:pt>
                <c:pt idx="18">
                  <c:v>52.421948972221479</c:v>
                </c:pt>
                <c:pt idx="19">
                  <c:v>54.00460443425866</c:v>
                </c:pt>
                <c:pt idx="20">
                  <c:v>55.479163350165805</c:v>
                </c:pt>
                <c:pt idx="21">
                  <c:v>56.850969858554144</c:v>
                </c:pt>
                <c:pt idx="22">
                  <c:v>58.125223936480964</c:v>
                </c:pt>
                <c:pt idx="23">
                  <c:v>59.306981399449519</c:v>
                </c:pt>
                <c:pt idx="24">
                  <c:v>60.401153901409131</c:v>
                </c:pt>
                <c:pt idx="25">
                  <c:v>61.412508934755138</c:v>
                </c:pt>
                <c:pt idx="26">
                  <c:v>62.345669830328831</c:v>
                </c:pt>
                <c:pt idx="27">
                  <c:v>63.205115757417609</c:v>
                </c:pt>
                <c:pt idx="28">
                  <c:v>63.99518172375479</c:v>
                </c:pt>
                <c:pt idx="29">
                  <c:v>64.720058575519786</c:v>
                </c:pt>
                <c:pt idx="30">
                  <c:v>65.383792997338006</c:v>
                </c:pt>
                <c:pt idx="31">
                  <c:v>65.990287512280815</c:v>
                </c:pt>
                <c:pt idx="32">
                  <c:v>66.5433004818657</c:v>
                </c:pt>
                <c:pt idx="33">
                  <c:v>67.046446106056081</c:v>
                </c:pt>
                <c:pt idx="34">
                  <c:v>67.503194423261377</c:v>
                </c:pt>
                <c:pt idx="35">
                  <c:v>67.916871310337129</c:v>
                </c:pt>
                <c:pt idx="36">
                  <c:v>68.290658482584803</c:v>
                </c:pt>
                <c:pt idx="37">
                  <c:v>68.627593493751931</c:v>
                </c:pt>
                <c:pt idx="38">
                  <c:v>68.930569736032041</c:v>
                </c:pt>
                <c:pt idx="39">
                  <c:v>69.202336440064656</c:v>
                </c:pt>
                <c:pt idx="40">
                  <c:v>69.445498674935322</c:v>
                </c:pt>
                <c:pt idx="41">
                  <c:v>69.662517348175655</c:v>
                </c:pt>
                <c:pt idx="42">
                  <c:v>69.855709205763191</c:v>
                </c:pt>
                <c:pt idx="43">
                  <c:v>70.027246832121534</c:v>
                </c:pt>
                <c:pt idx="44">
                  <c:v>70.17915865012047</c:v>
                </c:pt>
                <c:pt idx="45">
                  <c:v>70.313328921075396</c:v>
                </c:pt>
                <c:pt idx="46">
                  <c:v>70.431497744748157</c:v>
                </c:pt>
                <c:pt idx="47">
                  <c:v>70.535261059346311</c:v>
                </c:pt>
                <c:pt idx="48">
                  <c:v>70.626070641523555</c:v>
                </c:pt>
                <c:pt idx="49">
                  <c:v>70.705234106379677</c:v>
                </c:pt>
                <c:pt idx="50">
                  <c:v>70.773914907460295</c:v>
                </c:pt>
                <c:pt idx="51">
                  <c:v>70.833132336757217</c:v>
                </c:pt>
                <c:pt idx="52">
                  <c:v>70.88376152470812</c:v>
                </c:pt>
                <c:pt idx="53">
                  <c:v>70.926533440196877</c:v>
                </c:pt>
                <c:pt idx="54">
                  <c:v>70.962034890553198</c:v>
                </c:pt>
                <c:pt idx="55">
                  <c:v>70.990708521552889</c:v>
                </c:pt>
                <c:pt idx="56">
                  <c:v>71.012852817417809</c:v>
                </c:pt>
                <c:pt idx="57">
                  <c:v>71.028622100815724</c:v>
                </c:pt>
                <c:pt idx="58">
                  <c:v>71.038026532860485</c:v>
                </c:pt>
                <c:pt idx="59">
                  <c:v>71.040932113112092</c:v>
                </c:pt>
                <c:pt idx="60">
                  <c:v>71.037060679576285</c:v>
                </c:pt>
                <c:pt idx="61">
                  <c:v>71.025989908704972</c:v>
                </c:pt>
                <c:pt idx="62">
                  <c:v>71.007153315396081</c:v>
                </c:pt>
                <c:pt idx="63">
                  <c:v>70.97984025299364</c:v>
                </c:pt>
                <c:pt idx="64">
                  <c:v>70.943195913287369</c:v>
                </c:pt>
                <c:pt idx="65">
                  <c:v>70.896221326513469</c:v>
                </c:pt>
                <c:pt idx="66">
                  <c:v>70.837773361353868</c:v>
                </c:pt>
                <c:pt idx="67">
                  <c:v>70.766564724936359</c:v>
                </c:pt>
                <c:pt idx="68">
                  <c:v>70.681163962835143</c:v>
                </c:pt>
                <c:pt idx="69">
                  <c:v>70.579995459070204</c:v>
                </c:pt>
                <c:pt idx="70">
                  <c:v>70.461339436107664</c:v>
                </c:pt>
                <c:pt idx="71">
                  <c:v>70.323331954859398</c:v>
                </c:pt>
                <c:pt idx="72">
                  <c:v>70.163964914683532</c:v>
                </c:pt>
                <c:pt idx="73">
                  <c:v>69.981086053384331</c:v>
                </c:pt>
                <c:pt idx="74">
                  <c:v>69.772398947211585</c:v>
                </c:pt>
                <c:pt idx="75">
                  <c:v>69.535463010861847</c:v>
                </c:pt>
                <c:pt idx="76">
                  <c:v>69.267693497476856</c:v>
                </c:pt>
                <c:pt idx="77">
                  <c:v>68.966361498644943</c:v>
                </c:pt>
                <c:pt idx="78">
                  <c:v>68.628593944400265</c:v>
                </c:pt>
                <c:pt idx="79">
                  <c:v>68.251373603222888</c:v>
                </c:pt>
                <c:pt idx="80">
                  <c:v>67.831539082039313</c:v>
                </c:pt>
                <c:pt idx="81">
                  <c:v>67.365784826221571</c:v>
                </c:pt>
                <c:pt idx="82">
                  <c:v>66.850661119587841</c:v>
                </c:pt>
                <c:pt idx="83">
                  <c:v>66.282574084402341</c:v>
                </c:pt>
                <c:pt idx="84">
                  <c:v>65.657785681375529</c:v>
                </c:pt>
                <c:pt idx="85">
                  <c:v>64.972413709663471</c:v>
                </c:pt>
                <c:pt idx="86">
                  <c:v>64.222431806868599</c:v>
                </c:pt>
                <c:pt idx="87">
                  <c:v>63.403669449039526</c:v>
                </c:pt>
                <c:pt idx="88">
                  <c:v>62.511811950670037</c:v>
                </c:pt>
                <c:pt idx="89">
                  <c:v>61.542400464700563</c:v>
                </c:pt>
                <c:pt idx="90">
                  <c:v>60.490831982517726</c:v>
                </c:pt>
                <c:pt idx="91">
                  <c:v>59.352359333953707</c:v>
                </c:pt>
                <c:pt idx="92">
                  <c:v>58.122091187287175</c:v>
                </c:pt>
                <c:pt idx="93">
                  <c:v>56.794992049242076</c:v>
                </c:pt>
                <c:pt idx="94">
                  <c:v>55.365882264989374</c:v>
                </c:pt>
                <c:pt idx="95">
                  <c:v>53.829438018145147</c:v>
                </c:pt>
                <c:pt idx="96">
                  <c:v>52.18019133077194</c:v>
                </c:pt>
                <c:pt idx="97">
                  <c:v>50.412530063378583</c:v>
                </c:pt>
                <c:pt idx="98">
                  <c:v>48.520697914918756</c:v>
                </c:pt>
                <c:pt idx="99">
                  <c:v>46.498794422793502</c:v>
                </c:pt>
                <c:pt idx="100">
                  <c:v>44.340774962849515</c:v>
                </c:pt>
              </c:numCache>
            </c:numRef>
          </c:yVal>
          <c:smooth val="0"/>
          <c:extLst>
            <c:ext xmlns:c16="http://schemas.microsoft.com/office/drawing/2014/chart" uri="{C3380CC4-5D6E-409C-BE32-E72D297353CC}">
              <c16:uniqueId val="{00000000-ED5C-4B82-8F44-9369F172FCB9}"/>
            </c:ext>
          </c:extLst>
        </c:ser>
        <c:dLbls>
          <c:showLegendKey val="0"/>
          <c:showVal val="0"/>
          <c:showCatName val="0"/>
          <c:showSerName val="0"/>
          <c:showPercent val="0"/>
          <c:showBubbleSize val="0"/>
        </c:dLbls>
        <c:axId val="1866239839"/>
        <c:axId val="1705784463"/>
        <c:extLst>
          <c:ext xmlns:c15="http://schemas.microsoft.com/office/drawing/2012/chart" uri="{02D57815-91ED-43cb-92C2-25804820EDAC}">
            <c15:filteredScatterSeries>
              <c15:ser>
                <c:idx val="1"/>
                <c:order val="1"/>
                <c:tx>
                  <c:v>サンプルデータ</c:v>
                </c:tx>
                <c:spPr>
                  <a:ln w="19050" cap="rnd">
                    <a:noFill/>
                    <a:round/>
                  </a:ln>
                  <a:effectLst/>
                </c:spPr>
                <c:marker>
                  <c:symbol val="circle"/>
                  <c:size val="8"/>
                  <c:spPr>
                    <a:noFill/>
                    <a:ln w="9525">
                      <a:solidFill>
                        <a:schemeClr val="accent1"/>
                      </a:solidFill>
                    </a:ln>
                    <a:effectLst/>
                  </c:spPr>
                </c:marker>
                <c:xVal>
                  <c:numRef>
                    <c:extLst>
                      <c:ext uri="{02D57815-91ED-43cb-92C2-25804820EDAC}">
                        <c15:formulaRef>
                          <c15:sqref>'C2'!$BQ$14:$BQ$1013</c15:sqref>
                        </c15:formulaRef>
                      </c:ext>
                    </c:extLst>
                    <c:numCache>
                      <c:formatCode>General</c:formatCode>
                      <c:ptCount val="1000"/>
                      <c:pt idx="0">
                        <c:v>0</c:v>
                      </c:pt>
                      <c:pt idx="1">
                        <c:v>66.790352499999997</c:v>
                      </c:pt>
                      <c:pt idx="2">
                        <c:v>126.15955470000002</c:v>
                      </c:pt>
                      <c:pt idx="3">
                        <c:v>185.52875700000001</c:v>
                      </c:pt>
                      <c:pt idx="4">
                        <c:v>237.47680890000001</c:v>
                      </c:pt>
                      <c:pt idx="5">
                        <c:v>304.26716140000008</c:v>
                      </c:pt>
                      <c:pt idx="6">
                        <c:v>378.47866420000003</c:v>
                      </c:pt>
                      <c:pt idx="7">
                        <c:v>482.37476809999998</c:v>
                      </c:pt>
                      <c:pt idx="8">
                        <c:v>578.84972170000003</c:v>
                      </c:pt>
                      <c:pt idx="9">
                        <c:v>697.58812620000026</c:v>
                      </c:pt>
                      <c:pt idx="10">
                        <c:v>764.37847870000007</c:v>
                      </c:pt>
                      <c:pt idx="11">
                        <c:v>831.16883120000011</c:v>
                      </c:pt>
                      <c:pt idx="12">
                        <c:v>890.53803340000013</c:v>
                      </c:pt>
                      <c:pt idx="13">
                        <c:v>949.90723560000004</c:v>
                      </c:pt>
                      <c:pt idx="14">
                        <c:v>1024.1187379999999</c:v>
                      </c:pt>
                      <c:pt idx="15">
                        <c:v>1135.4359930000001</c:v>
                      </c:pt>
                      <c:pt idx="16">
                        <c:v>1261.5955469999999</c:v>
                      </c:pt>
                      <c:pt idx="17">
                        <c:v>1395.1762520000002</c:v>
                      </c:pt>
                      <c:pt idx="18">
                        <c:v>1521.3358070000002</c:v>
                      </c:pt>
                      <c:pt idx="19">
                        <c:v>1684.6011130000004</c:v>
                      </c:pt>
                      <c:pt idx="20">
                        <c:v>1833.0241190000002</c:v>
                      </c:pt>
                      <c:pt idx="21">
                        <c:v>1974.0259739999999</c:v>
                      </c:pt>
                      <c:pt idx="22">
                        <c:v>2129.8701300000007</c:v>
                      </c:pt>
                      <c:pt idx="23">
                        <c:v>2300.5565860000002</c:v>
                      </c:pt>
                      <c:pt idx="24">
                        <c:v>2463.8218919999999</c:v>
                      </c:pt>
                      <c:pt idx="25">
                        <c:v>2619.666048</c:v>
                      </c:pt>
                      <c:pt idx="26">
                        <c:v>2745.8256029999993</c:v>
                      </c:pt>
                      <c:pt idx="27">
                        <c:v>2916.5120590000006</c:v>
                      </c:pt>
                      <c:pt idx="28">
                        <c:v>3072.3562149999993</c:v>
                      </c:pt>
                      <c:pt idx="29">
                        <c:v>3198.51577</c:v>
                      </c:pt>
                      <c:pt idx="30">
                        <c:v>3302.4118740000008</c:v>
                      </c:pt>
                      <c:pt idx="31">
                        <c:v>3443.4137289999999</c:v>
                      </c:pt>
                      <c:pt idx="32">
                        <c:v>3562.1521340000013</c:v>
                      </c:pt>
                      <c:pt idx="33">
                        <c:v>3680.8905380000006</c:v>
                      </c:pt>
                      <c:pt idx="34">
                        <c:v>3799.6289420000003</c:v>
                      </c:pt>
                      <c:pt idx="35">
                        <c:v>3903.5250460000002</c:v>
                      </c:pt>
                      <c:pt idx="36">
                        <c:v>4022.2634509999993</c:v>
                      </c:pt>
                      <c:pt idx="37">
                        <c:v>4111.3172539999996</c:v>
                      </c:pt>
                      <c:pt idx="38">
                        <c:v>4230.0556589999997</c:v>
                      </c:pt>
                      <c:pt idx="39">
                        <c:v>4341.3729129999992</c:v>
                      </c:pt>
                      <c:pt idx="40">
                        <c:v>4430.4267160000009</c:v>
                      </c:pt>
                      <c:pt idx="41">
                        <c:v>4519.4805190000006</c:v>
                      </c:pt>
                      <c:pt idx="42">
                        <c:v>4601.1131730000006</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extLst>
                      <c:ext uri="{02D57815-91ED-43cb-92C2-25804820EDAC}">
                        <c15:formulaRef>
                          <c15:sqref>'C2'!$BP$14:$BP$1013</c15:sqref>
                        </c15:formulaRef>
                      </c:ext>
                    </c:extLst>
                    <c:numCache>
                      <c:formatCode>General</c:formatCode>
                      <c:ptCount val="1000"/>
                      <c:pt idx="0">
                        <c:v>-0.55813953500000002</c:v>
                      </c:pt>
                      <c:pt idx="1">
                        <c:v>5.3953488370000002</c:v>
                      </c:pt>
                      <c:pt idx="2">
                        <c:v>10.23255814</c:v>
                      </c:pt>
                      <c:pt idx="3">
                        <c:v>14.51162791</c:v>
                      </c:pt>
                      <c:pt idx="4">
                        <c:v>18.79069767</c:v>
                      </c:pt>
                      <c:pt idx="5">
                        <c:v>23.25581395</c:v>
                      </c:pt>
                      <c:pt idx="6">
                        <c:v>29.581395350000001</c:v>
                      </c:pt>
                      <c:pt idx="7">
                        <c:v>36.465116279999997</c:v>
                      </c:pt>
                      <c:pt idx="8">
                        <c:v>41.860465120000001</c:v>
                      </c:pt>
                      <c:pt idx="9">
                        <c:v>48.93023256</c:v>
                      </c:pt>
                      <c:pt idx="10">
                        <c:v>51.906976739999998</c:v>
                      </c:pt>
                      <c:pt idx="11">
                        <c:v>54.139534879999992</c:v>
                      </c:pt>
                      <c:pt idx="12">
                        <c:v>56.186046509999997</c:v>
                      </c:pt>
                      <c:pt idx="13">
                        <c:v>58.046511629999998</c:v>
                      </c:pt>
                      <c:pt idx="14">
                        <c:v>59.53488372000001</c:v>
                      </c:pt>
                      <c:pt idx="15">
                        <c:v>60.651162790000001</c:v>
                      </c:pt>
                      <c:pt idx="16">
                        <c:v>62.88372093000001</c:v>
                      </c:pt>
                      <c:pt idx="17">
                        <c:v>63.627906980000006</c:v>
                      </c:pt>
                      <c:pt idx="18">
                        <c:v>65.302325580000002</c:v>
                      </c:pt>
                      <c:pt idx="19">
                        <c:v>66.79069767</c:v>
                      </c:pt>
                      <c:pt idx="20">
                        <c:v>68.093023259999995</c:v>
                      </c:pt>
                      <c:pt idx="21">
                        <c:v>68.837209299999998</c:v>
                      </c:pt>
                      <c:pt idx="22">
                        <c:v>69.395348839999997</c:v>
                      </c:pt>
                      <c:pt idx="23">
                        <c:v>70.697674419999998</c:v>
                      </c:pt>
                      <c:pt idx="24">
                        <c:v>71.069767440000007</c:v>
                      </c:pt>
                      <c:pt idx="25">
                        <c:v>71.813953490000003</c:v>
                      </c:pt>
                      <c:pt idx="26">
                        <c:v>72</c:v>
                      </c:pt>
                      <c:pt idx="27">
                        <c:v>72.372093019999994</c:v>
                      </c:pt>
                      <c:pt idx="28">
                        <c:v>72.372093019999994</c:v>
                      </c:pt>
                      <c:pt idx="29">
                        <c:v>71.813953490000003</c:v>
                      </c:pt>
                      <c:pt idx="30">
                        <c:v>71.255813950000004</c:v>
                      </c:pt>
                      <c:pt idx="31">
                        <c:v>69.953488370000002</c:v>
                      </c:pt>
                      <c:pt idx="32">
                        <c:v>69.20930233</c:v>
                      </c:pt>
                      <c:pt idx="33">
                        <c:v>67.720930229999993</c:v>
                      </c:pt>
                      <c:pt idx="34">
                        <c:v>66.046511629999998</c:v>
                      </c:pt>
                      <c:pt idx="35">
                        <c:v>64.186046509999997</c:v>
                      </c:pt>
                      <c:pt idx="36">
                        <c:v>61.395348839999997</c:v>
                      </c:pt>
                      <c:pt idx="37">
                        <c:v>59.906976739999998</c:v>
                      </c:pt>
                      <c:pt idx="38">
                        <c:v>56.744186050000003</c:v>
                      </c:pt>
                      <c:pt idx="39">
                        <c:v>53.767441859999998</c:v>
                      </c:pt>
                      <c:pt idx="40">
                        <c:v>51.720930230000008</c:v>
                      </c:pt>
                      <c:pt idx="41">
                        <c:v>49.116279069999997</c:v>
                      </c:pt>
                      <c:pt idx="42">
                        <c:v>46.325581399999997</c:v>
                      </c:pt>
                    </c:numCache>
                  </c:numRef>
                </c:yVal>
                <c:smooth val="0"/>
                <c:extLst>
                  <c:ext xmlns:c16="http://schemas.microsoft.com/office/drawing/2014/chart" uri="{C3380CC4-5D6E-409C-BE32-E72D297353CC}">
                    <c16:uniqueId val="{00000001-ED5C-4B82-8F44-9369F172FCB9}"/>
                  </c:ext>
                </c:extLst>
              </c15:ser>
            </c15:filteredScatterSeries>
          </c:ext>
        </c:extLst>
      </c:scatterChart>
      <c:scatterChart>
        <c:scatterStyle val="lineMarker"/>
        <c:varyColors val="0"/>
        <c:ser>
          <c:idx val="2"/>
          <c:order val="2"/>
          <c:tx>
            <c:v>定格流量</c:v>
          </c:tx>
          <c:spPr>
            <a:ln w="19050" cap="rnd">
              <a:solidFill>
                <a:srgbClr val="FF0000"/>
              </a:solidFill>
              <a:prstDash val="sysDot"/>
              <a:round/>
            </a:ln>
            <a:effectLst/>
          </c:spPr>
          <c:marker>
            <c:symbol val="none"/>
          </c:marker>
          <c:xVal>
            <c:numRef>
              <c:f>'C2'!$BU$14:$BU$15</c:f>
              <c:numCache>
                <c:formatCode>General</c:formatCode>
                <c:ptCount val="2"/>
                <c:pt idx="0">
                  <c:v>2550</c:v>
                </c:pt>
                <c:pt idx="1">
                  <c:v>2550</c:v>
                </c:pt>
              </c:numCache>
            </c:numRef>
          </c:xVal>
          <c:yVal>
            <c:numRef>
              <c:f>'C2'!$BT$14:$BT$15</c:f>
              <c:numCache>
                <c:formatCode>General</c:formatCode>
                <c:ptCount val="2"/>
                <c:pt idx="0">
                  <c:v>0</c:v>
                </c:pt>
                <c:pt idx="1">
                  <c:v>1</c:v>
                </c:pt>
              </c:numCache>
            </c:numRef>
          </c:yVal>
          <c:smooth val="0"/>
          <c:extLst>
            <c:ext xmlns:c16="http://schemas.microsoft.com/office/drawing/2014/chart" uri="{C3380CC4-5D6E-409C-BE32-E72D297353CC}">
              <c16:uniqueId val="{00000002-ED5C-4B82-8F44-9369F172FCB9}"/>
            </c:ext>
          </c:extLst>
        </c:ser>
        <c:dLbls>
          <c:showLegendKey val="0"/>
          <c:showVal val="0"/>
          <c:showCatName val="0"/>
          <c:showSerName val="0"/>
          <c:showPercent val="0"/>
          <c:showBubbleSize val="0"/>
        </c:dLbls>
        <c:axId val="362762431"/>
        <c:axId val="362751023"/>
      </c:scatterChart>
      <c:valAx>
        <c:axId val="1866239839"/>
        <c:scaling>
          <c:orientation val="minMax"/>
        </c:scaling>
        <c:delete val="0"/>
        <c:axPos val="b"/>
        <c:majorGridlines>
          <c:spPr>
            <a:ln w="9525" cap="flat" cmpd="sng" algn="ctr">
              <a:solidFill>
                <a:schemeClr val="tx1">
                  <a:lumMod val="15000"/>
                  <a:lumOff val="85000"/>
                </a:schemeClr>
              </a:solidFill>
              <a:round/>
            </a:ln>
            <a:effectLst/>
          </c:spPr>
        </c:majorGridlines>
        <c:title>
          <c:tx>
            <c:strRef>
              <c:f>'C2'!$BJ$13</c:f>
              <c:strCache>
                <c:ptCount val="1"/>
                <c:pt idx="0">
                  <c:v>L/s</c:v>
                </c:pt>
              </c:strCache>
            </c:strRef>
          </c:tx>
          <c:layout>
            <c:manualLayout>
              <c:xMode val="edge"/>
              <c:yMode val="edge"/>
              <c:x val="0.52354608593761331"/>
              <c:y val="0.91396951346836497"/>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5784463"/>
        <c:crosses val="autoZero"/>
        <c:crossBetween val="midCat"/>
      </c:valAx>
      <c:valAx>
        <c:axId val="1705784463"/>
        <c:scaling>
          <c:orientation val="minMax"/>
        </c:scaling>
        <c:delete val="0"/>
        <c:axPos val="l"/>
        <c:majorGridlines>
          <c:spPr>
            <a:ln w="9525" cap="flat" cmpd="sng" algn="ctr">
              <a:solidFill>
                <a:schemeClr val="tx1">
                  <a:lumMod val="15000"/>
                  <a:lumOff val="85000"/>
                </a:schemeClr>
              </a:solidFill>
              <a:round/>
            </a:ln>
            <a:effectLst/>
          </c:spPr>
        </c:majorGridlines>
        <c:title>
          <c:tx>
            <c:strRef>
              <c:f>'C2'!$BI$13</c:f>
              <c:strCache>
                <c:ptCount val="1"/>
                <c:pt idx="0">
                  <c:v>%</c:v>
                </c:pt>
              </c:strCache>
            </c:strRef>
          </c:tx>
          <c:layout>
            <c:manualLayout>
              <c:xMode val="edge"/>
              <c:yMode val="edge"/>
              <c:x val="1.5461190192876373E-2"/>
              <c:y val="0.40363685360031154"/>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66239839"/>
        <c:crosses val="autoZero"/>
        <c:crossBetween val="midCat"/>
      </c:valAx>
      <c:valAx>
        <c:axId val="362751023"/>
        <c:scaling>
          <c:orientation val="minMax"/>
          <c:max val="1"/>
        </c:scaling>
        <c:delete val="0"/>
        <c:axPos val="r"/>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62762431"/>
        <c:crosses val="max"/>
        <c:crossBetween val="midCat"/>
      </c:valAx>
      <c:valAx>
        <c:axId val="362762431"/>
        <c:scaling>
          <c:orientation val="minMax"/>
        </c:scaling>
        <c:delete val="1"/>
        <c:axPos val="b"/>
        <c:numFmt formatCode="General" sourceLinked="1"/>
        <c:majorTickMark val="out"/>
        <c:minorTickMark val="none"/>
        <c:tickLblPos val="nextTo"/>
        <c:crossAx val="362751023"/>
        <c:crosses val="autoZero"/>
        <c:crossBetween val="midCat"/>
      </c:valAx>
      <c:spPr>
        <a:solidFill>
          <a:schemeClr val="bg1"/>
        </a:solidFill>
        <a:ln>
          <a:noFill/>
        </a:ln>
        <a:effectLst/>
      </c:spPr>
    </c:plotArea>
    <c:legend>
      <c:legendPos val="t"/>
      <c:legendEntry>
        <c:idx val="0"/>
        <c:delete val="1"/>
      </c:legendEntry>
      <c:layout>
        <c:manualLayout>
          <c:xMode val="edge"/>
          <c:yMode val="edge"/>
          <c:x val="0.15616776166328125"/>
          <c:y val="8.23045267489712E-3"/>
          <c:w val="0.78927034691444964"/>
          <c:h val="8.2433420056097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image" Target="../media/image6.svg"/><Relationship Id="rId13" Type="http://schemas.openxmlformats.org/officeDocument/2006/relationships/image" Target="../media/image11.png"/><Relationship Id="rId18" Type="http://schemas.openxmlformats.org/officeDocument/2006/relationships/image" Target="../media/image16.svg"/><Relationship Id="rId3" Type="http://schemas.openxmlformats.org/officeDocument/2006/relationships/image" Target="../media/image1.png"/><Relationship Id="rId21" Type="http://schemas.openxmlformats.org/officeDocument/2006/relationships/image" Target="../media/image19.png"/><Relationship Id="rId7" Type="http://schemas.openxmlformats.org/officeDocument/2006/relationships/image" Target="../media/image5.png"/><Relationship Id="rId12" Type="http://schemas.openxmlformats.org/officeDocument/2006/relationships/image" Target="../media/image10.svg"/><Relationship Id="rId17" Type="http://schemas.openxmlformats.org/officeDocument/2006/relationships/image" Target="../media/image15.png"/><Relationship Id="rId2" Type="http://schemas.openxmlformats.org/officeDocument/2006/relationships/chart" Target="../charts/chart19.xml"/><Relationship Id="rId16" Type="http://schemas.openxmlformats.org/officeDocument/2006/relationships/image" Target="../media/image14.svg"/><Relationship Id="rId20" Type="http://schemas.openxmlformats.org/officeDocument/2006/relationships/image" Target="../media/image18.svg"/><Relationship Id="rId1" Type="http://schemas.openxmlformats.org/officeDocument/2006/relationships/chart" Target="../charts/chart18.xml"/><Relationship Id="rId6" Type="http://schemas.openxmlformats.org/officeDocument/2006/relationships/image" Target="../media/image4.svg"/><Relationship Id="rId11" Type="http://schemas.openxmlformats.org/officeDocument/2006/relationships/image" Target="../media/image9.png"/><Relationship Id="rId5" Type="http://schemas.openxmlformats.org/officeDocument/2006/relationships/image" Target="../media/image3.png"/><Relationship Id="rId15" Type="http://schemas.openxmlformats.org/officeDocument/2006/relationships/image" Target="../media/image13.png"/><Relationship Id="rId23" Type="http://schemas.openxmlformats.org/officeDocument/2006/relationships/chart" Target="../charts/chart20.xml"/><Relationship Id="rId10" Type="http://schemas.openxmlformats.org/officeDocument/2006/relationships/image" Target="../media/image8.svg"/><Relationship Id="rId19" Type="http://schemas.openxmlformats.org/officeDocument/2006/relationships/image" Target="../media/image17.png"/><Relationship Id="rId4" Type="http://schemas.openxmlformats.org/officeDocument/2006/relationships/image" Target="../media/image2.svg"/><Relationship Id="rId9" Type="http://schemas.openxmlformats.org/officeDocument/2006/relationships/image" Target="../media/image7.png"/><Relationship Id="rId14" Type="http://schemas.openxmlformats.org/officeDocument/2006/relationships/image" Target="../media/image12.svg"/><Relationship Id="rId22" Type="http://schemas.openxmlformats.org/officeDocument/2006/relationships/image" Target="../media/image20.svg"/></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8</xdr:col>
      <xdr:colOff>0</xdr:colOff>
      <xdr:row>9</xdr:row>
      <xdr:rowOff>0</xdr:rowOff>
    </xdr:from>
    <xdr:to>
      <xdr:col>22</xdr:col>
      <xdr:colOff>0</xdr:colOff>
      <xdr:row>22</xdr:row>
      <xdr:rowOff>0</xdr:rowOff>
    </xdr:to>
    <xdr:graphicFrame macro="">
      <xdr:nvGraphicFramePr>
        <xdr:cNvPr id="3" name="グラフ 2">
          <a:extLst>
            <a:ext uri="{FF2B5EF4-FFF2-40B4-BE49-F238E27FC236}">
              <a16:creationId xmlns:a16="http://schemas.microsoft.com/office/drawing/2014/main" id="{BCC47B2C-71D4-4180-80DB-D2CFA6BBC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9</xdr:row>
      <xdr:rowOff>1</xdr:rowOff>
    </xdr:from>
    <xdr:to>
      <xdr:col>37</xdr:col>
      <xdr:colOff>0</xdr:colOff>
      <xdr:row>22</xdr:row>
      <xdr:rowOff>0</xdr:rowOff>
    </xdr:to>
    <xdr:graphicFrame macro="">
      <xdr:nvGraphicFramePr>
        <xdr:cNvPr id="4" name="グラフ 3">
          <a:extLst>
            <a:ext uri="{FF2B5EF4-FFF2-40B4-BE49-F238E27FC236}">
              <a16:creationId xmlns:a16="http://schemas.microsoft.com/office/drawing/2014/main" id="{18BD80D9-4C05-4499-81C5-A3A9524AE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0</xdr:colOff>
      <xdr:row>9</xdr:row>
      <xdr:rowOff>0</xdr:rowOff>
    </xdr:from>
    <xdr:to>
      <xdr:col>52</xdr:col>
      <xdr:colOff>0</xdr:colOff>
      <xdr:row>22</xdr:row>
      <xdr:rowOff>0</xdr:rowOff>
    </xdr:to>
    <xdr:graphicFrame macro="">
      <xdr:nvGraphicFramePr>
        <xdr:cNvPr id="5" name="グラフ 4">
          <a:extLst>
            <a:ext uri="{FF2B5EF4-FFF2-40B4-BE49-F238E27FC236}">
              <a16:creationId xmlns:a16="http://schemas.microsoft.com/office/drawing/2014/main" id="{9C1227A1-AE71-4E37-AB6E-BB5B72AE8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19</xdr:col>
      <xdr:colOff>0</xdr:colOff>
      <xdr:row>7</xdr:row>
      <xdr:rowOff>0</xdr:rowOff>
    </xdr:from>
    <xdr:ext cx="3815981" cy="288028"/>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9E170A3E-09A8-440F-9BD6-853D115C1D5B}"/>
                </a:ext>
              </a:extLst>
            </xdr:cNvPr>
            <xdr:cNvSpPr txBox="1"/>
          </xdr:nvSpPr>
          <xdr:spPr>
            <a:xfrm>
              <a:off x="6429375" y="1666875"/>
              <a:ext cx="3815981" cy="2880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h</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sub>
                        </m:sSub>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solidFill>
                              <a:schemeClr val="tx1"/>
                            </a:solidFill>
                            <a:effectLst/>
                            <a:latin typeface="Cambria Math" panose="02040503050406030204" pitchFamily="18" charset="0"/>
                            <a:ea typeface="+mn-ea"/>
                            <a:cs typeface="+mn-cs"/>
                          </a:rPr>
                        </m:ctrlPr>
                      </m:sSupPr>
                      <m:e>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sub>
                        </m:sSub>
                      </m:e>
                      <m:sup>
                        <m:r>
                          <a:rPr kumimoji="1" lang="en-US" altLang="ja-JP" sz="1600" b="0" i="1">
                            <a:solidFill>
                              <a:schemeClr val="tx1"/>
                            </a:solidFill>
                            <a:effectLst/>
                            <a:latin typeface="Cambria Math" panose="02040503050406030204" pitchFamily="18" charset="0"/>
                            <a:ea typeface="+mn-ea"/>
                            <a:cs typeface="+mn-cs"/>
                          </a:rPr>
                          <m:t>3</m:t>
                        </m:r>
                      </m:sup>
                    </m:sSup>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𝛼</m:t>
                        </m:r>
                      </m:e>
                      <m:sub>
                        <m:r>
                          <a:rPr kumimoji="1" lang="en-US" altLang="ja-JP" sz="1600" b="0" i="1">
                            <a:solidFill>
                              <a:schemeClr val="tx1"/>
                            </a:solidFill>
                            <a:effectLst/>
                            <a:latin typeface="Cambria Math" panose="02040503050406030204" pitchFamily="18" charset="0"/>
                            <a:ea typeface="+mn-ea"/>
                            <a:cs typeface="+mn-cs"/>
                          </a:rPr>
                          <m:t>3</m:t>
                        </m:r>
                      </m:sub>
                    </m:sSub>
                    <m:sSup>
                      <m:sSupPr>
                        <m:ctrlPr>
                          <a:rPr kumimoji="1" lang="en-US" altLang="ja-JP" sz="1600" b="0" i="1">
                            <a:solidFill>
                              <a:schemeClr val="tx1"/>
                            </a:solidFill>
                            <a:effectLst/>
                            <a:latin typeface="Cambria Math" panose="02040503050406030204" pitchFamily="18" charset="0"/>
                            <a:ea typeface="+mn-ea"/>
                            <a:cs typeface="+mn-cs"/>
                          </a:rPr>
                        </m:ctrlPr>
                      </m:sSupPr>
                      <m:e>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sub>
                        </m:sSub>
                      </m:e>
                      <m:sup>
                        <m:r>
                          <a:rPr kumimoji="1" lang="en-US" altLang="ja-JP" sz="1600" b="0" i="1">
                            <a:solidFill>
                              <a:schemeClr val="tx1"/>
                            </a:solidFill>
                            <a:effectLst/>
                            <a:latin typeface="Cambria Math" panose="02040503050406030204" pitchFamily="18" charset="0"/>
                            <a:ea typeface="+mn-ea"/>
                            <a:cs typeface="+mn-cs"/>
                          </a:rPr>
                          <m:t>2</m:t>
                        </m:r>
                      </m:sup>
                    </m:sSup>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𝛼</m:t>
                        </m:r>
                      </m:e>
                      <m:sub>
                        <m:r>
                          <a:rPr kumimoji="1" lang="en-US" altLang="ja-JP" sz="1600" b="0" i="1">
                            <a:solidFill>
                              <a:schemeClr val="tx1"/>
                            </a:solidFill>
                            <a:effectLst/>
                            <a:latin typeface="Cambria Math" panose="02040503050406030204" pitchFamily="18" charset="0"/>
                            <a:ea typeface="+mn-ea"/>
                            <a:cs typeface="+mn-cs"/>
                          </a:rPr>
                          <m:t>4</m:t>
                        </m:r>
                      </m:sub>
                    </m:sSub>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sub>
                    </m:sSub>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𝛼</m:t>
                        </m:r>
                      </m:e>
                      <m:sub>
                        <m:r>
                          <a:rPr kumimoji="1" lang="en-US" altLang="ja-JP" sz="1600" b="0" i="1">
                            <a:solidFill>
                              <a:schemeClr val="tx1"/>
                            </a:solidFill>
                            <a:effectLst/>
                            <a:latin typeface="Cambria Math" panose="02040503050406030204" pitchFamily="18" charset="0"/>
                            <a:ea typeface="+mn-ea"/>
                            <a:cs typeface="+mn-cs"/>
                          </a:rPr>
                          <m:t>5</m:t>
                        </m:r>
                      </m:sub>
                    </m:sSub>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9E170A3E-09A8-440F-9BD6-853D115C1D5B}"/>
                </a:ext>
              </a:extLst>
            </xdr:cNvPr>
            <xdr:cNvSpPr txBox="1"/>
          </xdr:nvSpPr>
          <xdr:spPr>
            <a:xfrm>
              <a:off x="6429375" y="1666875"/>
              <a:ext cx="3815981" cy="2880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𝐶_ℎ=</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〖𝐶_𝑓〗^4+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a:t>
              </a:r>
              <a:r>
                <a:rPr kumimoji="1" lang="en-US" altLang="ja-JP" sz="1600" b="0" i="0">
                  <a:solidFill>
                    <a:schemeClr val="tx1"/>
                  </a:solidFill>
                  <a:effectLst/>
                  <a:latin typeface="Cambria Math" panose="02040503050406030204" pitchFamily="18" charset="0"/>
                  <a:ea typeface="+mn-ea"/>
                  <a:cs typeface="+mn-cs"/>
                </a:rPr>
                <a:t> 〖𝐶_𝑓〗^3+</a:t>
              </a:r>
              <a:r>
                <a:rPr kumimoji="1" lang="ja-JP" altLang="en-US" sz="1600" b="0" i="0">
                  <a:solidFill>
                    <a:schemeClr val="tx1"/>
                  </a:solidFill>
                  <a:effectLst/>
                  <a:latin typeface="Cambria Math" panose="02040503050406030204" pitchFamily="18" charset="0"/>
                  <a:ea typeface="+mn-ea"/>
                  <a:cs typeface="+mn-cs"/>
                </a:rPr>
                <a:t>𝛼</a:t>
              </a:r>
              <a:r>
                <a:rPr kumimoji="1" lang="en-US" altLang="ja-JP" sz="1600" b="0" i="0">
                  <a:solidFill>
                    <a:schemeClr val="tx1"/>
                  </a:solidFill>
                  <a:effectLst/>
                  <a:latin typeface="Cambria Math" panose="02040503050406030204" pitchFamily="18" charset="0"/>
                  <a:ea typeface="+mn-ea"/>
                  <a:cs typeface="+mn-cs"/>
                </a:rPr>
                <a:t>_3 〖𝐶_𝑓〗^2+</a:t>
              </a:r>
              <a:r>
                <a:rPr kumimoji="1" lang="ja-JP" altLang="en-US" sz="1600" b="0" i="0">
                  <a:solidFill>
                    <a:schemeClr val="tx1"/>
                  </a:solidFill>
                  <a:effectLst/>
                  <a:latin typeface="Cambria Math" panose="02040503050406030204" pitchFamily="18" charset="0"/>
                  <a:ea typeface="+mn-ea"/>
                  <a:cs typeface="+mn-cs"/>
                </a:rPr>
                <a:t>𝛼</a:t>
              </a:r>
              <a:r>
                <a:rPr kumimoji="1" lang="en-US" altLang="ja-JP" sz="1600" b="0" i="0">
                  <a:solidFill>
                    <a:schemeClr val="tx1"/>
                  </a:solidFill>
                  <a:effectLst/>
                  <a:latin typeface="Cambria Math" panose="02040503050406030204" pitchFamily="18" charset="0"/>
                  <a:ea typeface="+mn-ea"/>
                  <a:cs typeface="+mn-cs"/>
                </a:rPr>
                <a:t>_4 𝐶_𝑓+</a:t>
              </a:r>
              <a:r>
                <a:rPr kumimoji="1" lang="ja-JP" altLang="en-US" sz="1600" b="0" i="0">
                  <a:solidFill>
                    <a:schemeClr val="tx1"/>
                  </a:solidFill>
                  <a:effectLst/>
                  <a:latin typeface="Cambria Math" panose="02040503050406030204" pitchFamily="18" charset="0"/>
                  <a:ea typeface="+mn-ea"/>
                  <a:cs typeface="+mn-cs"/>
                </a:rPr>
                <a:t>𝛼</a:t>
              </a:r>
              <a:r>
                <a:rPr kumimoji="1" lang="en-US" altLang="ja-JP" sz="1600" b="0" i="0">
                  <a:solidFill>
                    <a:schemeClr val="tx1"/>
                  </a:solidFill>
                  <a:effectLst/>
                  <a:latin typeface="Cambria Math" panose="02040503050406030204" pitchFamily="18" charset="0"/>
                  <a:ea typeface="+mn-ea"/>
                  <a:cs typeface="+mn-cs"/>
                </a:rPr>
                <a:t>_5</a:t>
              </a:r>
              <a:endParaRPr kumimoji="1" lang="ja-JP" altLang="en-US" sz="1600" i="1"/>
            </a:p>
          </xdr:txBody>
        </xdr:sp>
      </mc:Fallback>
    </mc:AlternateContent>
    <xdr:clientData/>
  </xdr:oneCellAnchor>
  <xdr:twoCellAnchor>
    <xdr:from>
      <xdr:col>29</xdr:col>
      <xdr:colOff>0</xdr:colOff>
      <xdr:row>9</xdr:row>
      <xdr:rowOff>0</xdr:rowOff>
    </xdr:from>
    <xdr:to>
      <xdr:col>47</xdr:col>
      <xdr:colOff>0</xdr:colOff>
      <xdr:row>24</xdr:row>
      <xdr:rowOff>0</xdr:rowOff>
    </xdr:to>
    <xdr:graphicFrame macro="">
      <xdr:nvGraphicFramePr>
        <xdr:cNvPr id="3" name="グラフ 2">
          <a:extLst>
            <a:ext uri="{FF2B5EF4-FFF2-40B4-BE49-F238E27FC236}">
              <a16:creationId xmlns:a16="http://schemas.microsoft.com/office/drawing/2014/main" id="{A10C443E-5ACD-4FF6-8B1B-614E86C17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55</xdr:col>
      <xdr:colOff>0</xdr:colOff>
      <xdr:row>7</xdr:row>
      <xdr:rowOff>0</xdr:rowOff>
    </xdr:from>
    <xdr:ext cx="3375411" cy="255006"/>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F48D5477-B8C4-46B2-A29D-8D3E65FA1C34}"/>
                </a:ext>
              </a:extLst>
            </xdr:cNvPr>
            <xdr:cNvSpPr txBox="1"/>
          </xdr:nvSpPr>
          <xdr:spPr>
            <a:xfrm>
              <a:off x="15687675" y="1666875"/>
              <a:ext cx="3375411"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𝑦</m:t>
                    </m:r>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r>
                      <a:rPr kumimoji="1" lang="en-US" altLang="ja-JP" sz="1600" b="0" i="1">
                        <a:latin typeface="Cambria Math" panose="02040503050406030204" pitchFamily="18" charset="0"/>
                      </a:rPr>
                      <m:t>𝑥</m:t>
                    </m:r>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F48D5477-B8C4-46B2-A29D-8D3E65FA1C34}"/>
                </a:ext>
              </a:extLst>
            </xdr:cNvPr>
            <xdr:cNvSpPr txBox="1"/>
          </xdr:nvSpPr>
          <xdr:spPr>
            <a:xfrm>
              <a:off x="15687675" y="1666875"/>
              <a:ext cx="3375411"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𝑦=</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𝑥^4+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𝑥^3+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𝑥^2+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𝑥+</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a:t>
              </a:r>
              <a:endParaRPr kumimoji="1" lang="ja-JP" altLang="en-US" sz="1600" i="1"/>
            </a:p>
          </xdr:txBody>
        </xdr:sp>
      </mc:Fallback>
    </mc:AlternateContent>
    <xdr:clientData/>
  </xdr:oneCellAnchor>
  <xdr:oneCellAnchor>
    <xdr:from>
      <xdr:col>55</xdr:col>
      <xdr:colOff>0</xdr:colOff>
      <xdr:row>9</xdr:row>
      <xdr:rowOff>2169</xdr:rowOff>
    </xdr:from>
    <xdr:ext cx="2678104" cy="255006"/>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754254CA-7CDB-4AD1-B454-97CA82ADCB35}"/>
                </a:ext>
              </a:extLst>
            </xdr:cNvPr>
            <xdr:cNvSpPr txBox="1"/>
          </xdr:nvSpPr>
          <xdr:spPr>
            <a:xfrm>
              <a:off x="15687675" y="2145294"/>
              <a:ext cx="2678104"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𝑦</m:t>
                    </m:r>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𝑥</m:t>
                    </m:r>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754254CA-7CDB-4AD1-B454-97CA82ADCB35}"/>
                </a:ext>
              </a:extLst>
            </xdr:cNvPr>
            <xdr:cNvSpPr txBox="1"/>
          </xdr:nvSpPr>
          <xdr:spPr>
            <a:xfrm>
              <a:off x="15687675" y="2145294"/>
              <a:ext cx="2678104"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𝑦′=𝑎_3 𝑥^3+𝑎_2 𝑥^2+𝑎_1 𝑥+𝑎_0</a:t>
              </a:r>
              <a:endParaRPr kumimoji="1" lang="ja-JP" altLang="en-US" sz="1600" i="1"/>
            </a:p>
          </xdr:txBody>
        </xdr:sp>
      </mc:Fallback>
    </mc:AlternateContent>
    <xdr:clientData/>
  </xdr:oneCellAnchor>
  <xdr:oneCellAnchor>
    <xdr:from>
      <xdr:col>65</xdr:col>
      <xdr:colOff>14896</xdr:colOff>
      <xdr:row>8</xdr:row>
      <xdr:rowOff>0</xdr:rowOff>
    </xdr:from>
    <xdr:ext cx="2629118" cy="255006"/>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176A5C3D-F25C-437E-B0B2-F10767D0DE2A}"/>
                </a:ext>
              </a:extLst>
            </xdr:cNvPr>
            <xdr:cNvSpPr txBox="1"/>
          </xdr:nvSpPr>
          <xdr:spPr>
            <a:xfrm>
              <a:off x="18274321" y="1905000"/>
              <a:ext cx="2629118"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𝑥</m:t>
                    </m:r>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176A5C3D-F25C-437E-B0B2-F10767D0DE2A}"/>
                </a:ext>
              </a:extLst>
            </xdr:cNvPr>
            <xdr:cNvSpPr txBox="1"/>
          </xdr:nvSpPr>
          <xdr:spPr>
            <a:xfrm>
              <a:off x="18274321" y="1905000"/>
              <a:ext cx="2629118"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𝑎_3 𝑥^3+𝑎_2 𝑥^2+𝑎_1 𝑥+𝑎_0=0</a:t>
              </a:r>
              <a:endParaRPr kumimoji="1" lang="ja-JP" altLang="en-US" sz="1600" i="1"/>
            </a:p>
          </xdr:txBody>
        </xdr:sp>
      </mc:Fallback>
    </mc:AlternateContent>
    <xdr:clientData/>
  </xdr:oneCellAnchor>
  <xdr:oneCellAnchor>
    <xdr:from>
      <xdr:col>65</xdr:col>
      <xdr:colOff>0</xdr:colOff>
      <xdr:row>9</xdr:row>
      <xdr:rowOff>51082</xdr:rowOff>
    </xdr:from>
    <xdr:ext cx="2455416" cy="463268"/>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EF3493B3-1571-45C1-9D57-E40C888F5B62}"/>
                </a:ext>
              </a:extLst>
            </xdr:cNvPr>
            <xdr:cNvSpPr txBox="1"/>
          </xdr:nvSpPr>
          <xdr:spPr>
            <a:xfrm>
              <a:off x="18259425" y="2194207"/>
              <a:ext cx="2455416" cy="46326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num>
                      <m:den>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num>
                      <m:den>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den>
                    </m:f>
                    <m:r>
                      <a:rPr kumimoji="1" lang="en-US" altLang="ja-JP" sz="1600" b="0" i="1">
                        <a:latin typeface="Cambria Math" panose="02040503050406030204" pitchFamily="18" charset="0"/>
                      </a:rPr>
                      <m:t>𝑥</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num>
                      <m:den>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den>
                    </m:f>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EF3493B3-1571-45C1-9D57-E40C888F5B62}"/>
                </a:ext>
              </a:extLst>
            </xdr:cNvPr>
            <xdr:cNvSpPr txBox="1"/>
          </xdr:nvSpPr>
          <xdr:spPr>
            <a:xfrm>
              <a:off x="18259425" y="2194207"/>
              <a:ext cx="2455416" cy="46326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𝑥^3+𝑎_2/𝑎_3  𝑥^2+𝑎_1/𝑎_3  𝑥+𝑎_0/𝑎_3 =0</a:t>
              </a:r>
              <a:endParaRPr kumimoji="1" lang="ja-JP" altLang="en-US" sz="1600" i="1"/>
            </a:p>
          </xdr:txBody>
        </xdr:sp>
      </mc:Fallback>
    </mc:AlternateContent>
    <xdr:clientData/>
  </xdr:oneCellAnchor>
  <xdr:oneCellAnchor>
    <xdr:from>
      <xdr:col>65</xdr:col>
      <xdr:colOff>0</xdr:colOff>
      <xdr:row>11</xdr:row>
      <xdr:rowOff>51082</xdr:rowOff>
    </xdr:from>
    <xdr:ext cx="2105512" cy="25500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9B63F544-84B1-43C9-A733-FF550910A7FF}"/>
                </a:ext>
              </a:extLst>
            </xdr:cNvPr>
            <xdr:cNvSpPr txBox="1"/>
          </xdr:nvSpPr>
          <xdr:spPr>
            <a:xfrm>
              <a:off x="18259425" y="2670457"/>
              <a:ext cx="2105512"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𝐴</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𝐵𝑥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𝐶</m:t>
                    </m:r>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8" name="テキスト ボックス 7">
              <a:extLst>
                <a:ext uri="{FF2B5EF4-FFF2-40B4-BE49-F238E27FC236}">
                  <a16:creationId xmlns:a16="http://schemas.microsoft.com/office/drawing/2014/main" id="{9B63F544-84B1-43C9-A733-FF550910A7FF}"/>
                </a:ext>
              </a:extLst>
            </xdr:cNvPr>
            <xdr:cNvSpPr txBox="1"/>
          </xdr:nvSpPr>
          <xdr:spPr>
            <a:xfrm>
              <a:off x="18259425" y="2670457"/>
              <a:ext cx="2105512"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𝑥^3+𝐴𝑥^2+𝐵𝑥+𝐶=0</a:t>
              </a:r>
              <a:endParaRPr kumimoji="1" lang="ja-JP" altLang="en-US" sz="1600" i="1"/>
            </a:p>
          </xdr:txBody>
        </xdr:sp>
      </mc:Fallback>
    </mc:AlternateContent>
    <xdr:clientData/>
  </xdr:oneCellAnchor>
  <xdr:oneCellAnchor>
    <xdr:from>
      <xdr:col>65</xdr:col>
      <xdr:colOff>89</xdr:colOff>
      <xdr:row>17</xdr:row>
      <xdr:rowOff>0</xdr:rowOff>
    </xdr:from>
    <xdr:ext cx="942886" cy="462627"/>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BCFFA749-6610-4D9D-9A71-8B4469188A94}"/>
                </a:ext>
              </a:extLst>
            </xdr:cNvPr>
            <xdr:cNvSpPr txBox="1"/>
          </xdr:nvSpPr>
          <xdr:spPr>
            <a:xfrm>
              <a:off x="18259514" y="4048125"/>
              <a:ext cx="942886" cy="46262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𝑋</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𝐴</m:t>
                        </m:r>
                      </m:num>
                      <m:den>
                        <m:r>
                          <a:rPr kumimoji="1" lang="en-US" altLang="ja-JP" sz="1600" b="0" i="1">
                            <a:latin typeface="Cambria Math" panose="02040503050406030204" pitchFamily="18" charset="0"/>
                          </a:rPr>
                          <m:t>3</m:t>
                        </m:r>
                      </m:den>
                    </m:f>
                  </m:oMath>
                </m:oMathPara>
              </a14:m>
              <a:endParaRPr kumimoji="1" lang="ja-JP" altLang="en-US" sz="1600" i="1"/>
            </a:p>
          </xdr:txBody>
        </xdr:sp>
      </mc:Choice>
      <mc:Fallback xmlns="">
        <xdr:sp macro="" textlink="">
          <xdr:nvSpPr>
            <xdr:cNvPr id="9" name="テキスト ボックス 8">
              <a:extLst>
                <a:ext uri="{FF2B5EF4-FFF2-40B4-BE49-F238E27FC236}">
                  <a16:creationId xmlns:a16="http://schemas.microsoft.com/office/drawing/2014/main" id="{BCFFA749-6610-4D9D-9A71-8B4469188A94}"/>
                </a:ext>
              </a:extLst>
            </xdr:cNvPr>
            <xdr:cNvSpPr txBox="1"/>
          </xdr:nvSpPr>
          <xdr:spPr>
            <a:xfrm>
              <a:off x="18259514" y="4048125"/>
              <a:ext cx="942886" cy="46262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𝑥=𝑋−𝐴/3</a:t>
              </a:r>
              <a:endParaRPr kumimoji="1" lang="ja-JP" altLang="en-US" sz="1600" i="1"/>
            </a:p>
          </xdr:txBody>
        </xdr:sp>
      </mc:Fallback>
    </mc:AlternateContent>
    <xdr:clientData/>
  </xdr:oneCellAnchor>
  <xdr:oneCellAnchor>
    <xdr:from>
      <xdr:col>65</xdr:col>
      <xdr:colOff>0</xdr:colOff>
      <xdr:row>19</xdr:row>
      <xdr:rowOff>0</xdr:rowOff>
    </xdr:from>
    <xdr:ext cx="4127477" cy="601831"/>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4A91F97B-B95A-4DA0-9DD4-0A577B6510D3}"/>
                </a:ext>
              </a:extLst>
            </xdr:cNvPr>
            <xdr:cNvSpPr txBox="1"/>
          </xdr:nvSpPr>
          <xdr:spPr>
            <a:xfrm>
              <a:off x="18259425" y="4524375"/>
              <a:ext cx="4127477" cy="601831"/>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𝑋</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𝐴</m:t>
                                </m:r>
                              </m:num>
                              <m:den>
                                <m:r>
                                  <a:rPr kumimoji="1" lang="en-US" altLang="ja-JP" sz="1600" b="0" i="1">
                                    <a:latin typeface="Cambria Math" panose="02040503050406030204" pitchFamily="18" charset="0"/>
                                  </a:rPr>
                                  <m:t>3</m:t>
                                </m:r>
                              </m:den>
                            </m:f>
                          </m:e>
                        </m:d>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𝐴</m:t>
                    </m:r>
                    <m:sSup>
                      <m:sSupPr>
                        <m:ctrlPr>
                          <a:rPr kumimoji="1" lang="en-US" altLang="ja-JP" sz="1600" b="0" i="1">
                            <a:latin typeface="Cambria Math" panose="02040503050406030204" pitchFamily="18" charset="0"/>
                          </a:rPr>
                        </m:ctrlPr>
                      </m:sSupPr>
                      <m:e>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𝑋</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𝐴</m:t>
                                </m:r>
                              </m:num>
                              <m:den>
                                <m:r>
                                  <a:rPr kumimoji="1" lang="en-US" altLang="ja-JP" sz="1600" b="0" i="1">
                                    <a:latin typeface="Cambria Math" panose="02040503050406030204" pitchFamily="18" charset="0"/>
                                  </a:rPr>
                                  <m:t>3</m:t>
                                </m:r>
                              </m:den>
                            </m:f>
                          </m:e>
                        </m:d>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𝐵</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𝑋</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𝐴</m:t>
                            </m:r>
                          </m:num>
                          <m:den>
                            <m:r>
                              <a:rPr kumimoji="1" lang="en-US" altLang="ja-JP" sz="1600" b="0" i="1">
                                <a:latin typeface="Cambria Math" panose="02040503050406030204" pitchFamily="18" charset="0"/>
                              </a:rPr>
                              <m:t>3</m:t>
                            </m:r>
                          </m:den>
                        </m:f>
                      </m:e>
                    </m:d>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𝐶</m:t>
                    </m:r>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10" name="テキスト ボックス 9">
              <a:extLst>
                <a:ext uri="{FF2B5EF4-FFF2-40B4-BE49-F238E27FC236}">
                  <a16:creationId xmlns:a16="http://schemas.microsoft.com/office/drawing/2014/main" id="{4A91F97B-B95A-4DA0-9DD4-0A577B6510D3}"/>
                </a:ext>
              </a:extLst>
            </xdr:cNvPr>
            <xdr:cNvSpPr txBox="1"/>
          </xdr:nvSpPr>
          <xdr:spPr>
            <a:xfrm>
              <a:off x="18259425" y="4524375"/>
              <a:ext cx="4127477" cy="601831"/>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(𝑋−𝐴/3)^3+𝐴(𝑋−𝐴/3)^2+𝐵(𝑋−𝐴/3)+𝐶=0</a:t>
              </a:r>
              <a:endParaRPr kumimoji="1" lang="ja-JP" altLang="en-US" sz="1600" i="1"/>
            </a:p>
          </xdr:txBody>
        </xdr:sp>
      </mc:Fallback>
    </mc:AlternateContent>
    <xdr:clientData/>
  </xdr:oneCellAnchor>
  <xdr:oneCellAnchor>
    <xdr:from>
      <xdr:col>65</xdr:col>
      <xdr:colOff>0</xdr:colOff>
      <xdr:row>22</xdr:row>
      <xdr:rowOff>0</xdr:rowOff>
    </xdr:from>
    <xdr:ext cx="3543662" cy="558230"/>
    <mc:AlternateContent xmlns:mc="http://schemas.openxmlformats.org/markup-compatibility/2006" xmlns:a14="http://schemas.microsoft.com/office/drawing/2010/main">
      <mc:Choice Requires="a14">
        <xdr:sp macro="" textlink="">
          <xdr:nvSpPr>
            <xdr:cNvPr id="11" name="テキスト ボックス 10">
              <a:extLst>
                <a:ext uri="{FF2B5EF4-FFF2-40B4-BE49-F238E27FC236}">
                  <a16:creationId xmlns:a16="http://schemas.microsoft.com/office/drawing/2014/main" id="{76F955CA-DA73-49B1-A195-C9E8474193AA}"/>
                </a:ext>
              </a:extLst>
            </xdr:cNvPr>
            <xdr:cNvSpPr txBox="1"/>
          </xdr:nvSpPr>
          <xdr:spPr>
            <a:xfrm>
              <a:off x="18259425" y="5238750"/>
              <a:ext cx="3543662"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𝑋</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𝐵</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𝐴</m:t>
                                </m:r>
                              </m:e>
                              <m:sup>
                                <m:r>
                                  <a:rPr kumimoji="1" lang="en-US" altLang="ja-JP" sz="1600" b="0" i="1">
                                    <a:latin typeface="Cambria Math" panose="02040503050406030204" pitchFamily="18" charset="0"/>
                                  </a:rPr>
                                  <m:t>2</m:t>
                                </m:r>
                              </m:sup>
                            </m:sSup>
                          </m:num>
                          <m:den>
                            <m:r>
                              <a:rPr kumimoji="1" lang="en-US" altLang="ja-JP" sz="1600" b="0" i="1">
                                <a:latin typeface="Cambria Math" panose="02040503050406030204" pitchFamily="18" charset="0"/>
                              </a:rPr>
                              <m:t>3</m:t>
                            </m:r>
                          </m:den>
                        </m:f>
                      </m:e>
                    </m:d>
                    <m:r>
                      <a:rPr kumimoji="1" lang="en-US" altLang="ja-JP" sz="1600" b="0" i="1">
                        <a:latin typeface="Cambria Math" panose="02040503050406030204" pitchFamily="18" charset="0"/>
                      </a:rPr>
                      <m:t>𝑋</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2</m:t>
                        </m:r>
                      </m:num>
                      <m:den>
                        <m:r>
                          <a:rPr kumimoji="1" lang="en-US" altLang="ja-JP" sz="1600" b="0" i="1">
                            <a:latin typeface="Cambria Math" panose="02040503050406030204" pitchFamily="18" charset="0"/>
                          </a:rPr>
                          <m:t>27</m:t>
                        </m:r>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𝐴</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𝐴𝐵</m:t>
                        </m:r>
                      </m:num>
                      <m:den>
                        <m:r>
                          <a:rPr kumimoji="1" lang="en-US" altLang="ja-JP" sz="1600" b="0" i="1">
                            <a:latin typeface="Cambria Math" panose="02040503050406030204" pitchFamily="18" charset="0"/>
                          </a:rPr>
                          <m:t>3</m:t>
                        </m:r>
                      </m:den>
                    </m:f>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𝐶</m:t>
                    </m:r>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11" name="テキスト ボックス 10">
              <a:extLst>
                <a:ext uri="{FF2B5EF4-FFF2-40B4-BE49-F238E27FC236}">
                  <a16:creationId xmlns:a16="http://schemas.microsoft.com/office/drawing/2014/main" id="{76F955CA-DA73-49B1-A195-C9E8474193AA}"/>
                </a:ext>
              </a:extLst>
            </xdr:cNvPr>
            <xdr:cNvSpPr txBox="1"/>
          </xdr:nvSpPr>
          <xdr:spPr>
            <a:xfrm>
              <a:off x="18259425" y="5238750"/>
              <a:ext cx="3543662"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𝑋^3+(𝐵−𝐴^2/3)𝑋+2/27 𝐴^3−𝐴𝐵/3+𝐶=0</a:t>
              </a:r>
              <a:endParaRPr kumimoji="1" lang="ja-JP" altLang="en-US" sz="1600" i="1"/>
            </a:p>
          </xdr:txBody>
        </xdr:sp>
      </mc:Fallback>
    </mc:AlternateContent>
    <xdr:clientData/>
  </xdr:oneCellAnchor>
  <xdr:oneCellAnchor>
    <xdr:from>
      <xdr:col>65</xdr:col>
      <xdr:colOff>0</xdr:colOff>
      <xdr:row>25</xdr:row>
      <xdr:rowOff>0</xdr:rowOff>
    </xdr:from>
    <xdr:ext cx="1522083" cy="255006"/>
    <mc:AlternateContent xmlns:mc="http://schemas.openxmlformats.org/markup-compatibility/2006" xmlns:a14="http://schemas.microsoft.com/office/drawing/2010/main">
      <mc:Choice Requires="a14">
        <xdr:sp macro="" textlink="">
          <xdr:nvSpPr>
            <xdr:cNvPr id="12" name="テキスト ボックス 11">
              <a:extLst>
                <a:ext uri="{FF2B5EF4-FFF2-40B4-BE49-F238E27FC236}">
                  <a16:creationId xmlns:a16="http://schemas.microsoft.com/office/drawing/2014/main" id="{2CBA64ED-BE28-4AFA-BCDD-CA235324C8BE}"/>
                </a:ext>
              </a:extLst>
            </xdr:cNvPr>
            <xdr:cNvSpPr txBox="1"/>
          </xdr:nvSpPr>
          <xdr:spPr>
            <a:xfrm>
              <a:off x="18259425" y="5953125"/>
              <a:ext cx="1522083"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𝑋</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𝑝𝑋</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𝑞</m:t>
                    </m:r>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12" name="テキスト ボックス 11">
              <a:extLst>
                <a:ext uri="{FF2B5EF4-FFF2-40B4-BE49-F238E27FC236}">
                  <a16:creationId xmlns:a16="http://schemas.microsoft.com/office/drawing/2014/main" id="{2CBA64ED-BE28-4AFA-BCDD-CA235324C8BE}"/>
                </a:ext>
              </a:extLst>
            </xdr:cNvPr>
            <xdr:cNvSpPr txBox="1"/>
          </xdr:nvSpPr>
          <xdr:spPr>
            <a:xfrm>
              <a:off x="18259425" y="5953125"/>
              <a:ext cx="1522083"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𝑋^3+𝑝𝑋+𝑞=0</a:t>
              </a:r>
              <a:endParaRPr kumimoji="1" lang="ja-JP" altLang="en-US" sz="1600" i="1"/>
            </a:p>
          </xdr:txBody>
        </xdr:sp>
      </mc:Fallback>
    </mc:AlternateContent>
    <xdr:clientData/>
  </xdr:oneCellAnchor>
  <xdr:oneCellAnchor>
    <xdr:from>
      <xdr:col>65</xdr:col>
      <xdr:colOff>89</xdr:colOff>
      <xdr:row>30</xdr:row>
      <xdr:rowOff>0</xdr:rowOff>
    </xdr:from>
    <xdr:ext cx="936089" cy="250453"/>
    <mc:AlternateContent xmlns:mc="http://schemas.openxmlformats.org/markup-compatibility/2006" xmlns:a14="http://schemas.microsoft.com/office/drawing/2010/main">
      <mc:Choice Requires="a14">
        <xdr:sp macro="" textlink="">
          <xdr:nvSpPr>
            <xdr:cNvPr id="13" name="テキスト ボックス 12">
              <a:extLst>
                <a:ext uri="{FF2B5EF4-FFF2-40B4-BE49-F238E27FC236}">
                  <a16:creationId xmlns:a16="http://schemas.microsoft.com/office/drawing/2014/main" id="{47F3D9C1-1B68-4F0D-BD68-D807E79F7E60}"/>
                </a:ext>
              </a:extLst>
            </xdr:cNvPr>
            <xdr:cNvSpPr txBox="1"/>
          </xdr:nvSpPr>
          <xdr:spPr>
            <a:xfrm>
              <a:off x="18259514" y="7143750"/>
              <a:ext cx="936089" cy="25045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𝑋</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𝑢</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𝑣</m:t>
                    </m:r>
                  </m:oMath>
                </m:oMathPara>
              </a14:m>
              <a:endParaRPr kumimoji="1" lang="ja-JP" altLang="en-US" sz="1600" i="1"/>
            </a:p>
          </xdr:txBody>
        </xdr:sp>
      </mc:Choice>
      <mc:Fallback xmlns="">
        <xdr:sp macro="" textlink="">
          <xdr:nvSpPr>
            <xdr:cNvPr id="13" name="テキスト ボックス 12">
              <a:extLst>
                <a:ext uri="{FF2B5EF4-FFF2-40B4-BE49-F238E27FC236}">
                  <a16:creationId xmlns:a16="http://schemas.microsoft.com/office/drawing/2014/main" id="{47F3D9C1-1B68-4F0D-BD68-D807E79F7E60}"/>
                </a:ext>
              </a:extLst>
            </xdr:cNvPr>
            <xdr:cNvSpPr txBox="1"/>
          </xdr:nvSpPr>
          <xdr:spPr>
            <a:xfrm>
              <a:off x="18259514" y="7143750"/>
              <a:ext cx="936089" cy="25045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𝑋=𝑢+𝑣</a:t>
              </a:r>
              <a:endParaRPr kumimoji="1" lang="ja-JP" altLang="en-US" sz="1600" i="1"/>
            </a:p>
          </xdr:txBody>
        </xdr:sp>
      </mc:Fallback>
    </mc:AlternateContent>
    <xdr:clientData/>
  </xdr:oneCellAnchor>
  <xdr:oneCellAnchor>
    <xdr:from>
      <xdr:col>65</xdr:col>
      <xdr:colOff>0</xdr:colOff>
      <xdr:row>31</xdr:row>
      <xdr:rowOff>2169</xdr:rowOff>
    </xdr:from>
    <xdr:ext cx="2555828" cy="255006"/>
    <mc:AlternateContent xmlns:mc="http://schemas.openxmlformats.org/markup-compatibility/2006" xmlns:a14="http://schemas.microsoft.com/office/drawing/2010/main">
      <mc:Choice Requires="a14">
        <xdr:sp macro="" textlink="">
          <xdr:nvSpPr>
            <xdr:cNvPr id="14" name="テキスト ボックス 13">
              <a:extLst>
                <a:ext uri="{FF2B5EF4-FFF2-40B4-BE49-F238E27FC236}">
                  <a16:creationId xmlns:a16="http://schemas.microsoft.com/office/drawing/2014/main" id="{B2515F60-F9FD-4C9C-9049-D45DC203E8C4}"/>
                </a:ext>
              </a:extLst>
            </xdr:cNvPr>
            <xdr:cNvSpPr txBox="1"/>
          </xdr:nvSpPr>
          <xdr:spPr>
            <a:xfrm>
              <a:off x="18259425" y="7384044"/>
              <a:ext cx="2555828"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𝑢</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𝑣</m:t>
                            </m:r>
                          </m:e>
                        </m:d>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𝑢</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𝑣</m:t>
                        </m:r>
                      </m:e>
                    </m:d>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𝑞</m:t>
                    </m:r>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14" name="テキスト ボックス 13">
              <a:extLst>
                <a:ext uri="{FF2B5EF4-FFF2-40B4-BE49-F238E27FC236}">
                  <a16:creationId xmlns:a16="http://schemas.microsoft.com/office/drawing/2014/main" id="{B2515F60-F9FD-4C9C-9049-D45DC203E8C4}"/>
                </a:ext>
              </a:extLst>
            </xdr:cNvPr>
            <xdr:cNvSpPr txBox="1"/>
          </xdr:nvSpPr>
          <xdr:spPr>
            <a:xfrm>
              <a:off x="18259425" y="7384044"/>
              <a:ext cx="2555828"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(𝑢+𝑣)^3+𝑝(𝑢+𝑣)+𝑞=0</a:t>
              </a:r>
              <a:endParaRPr kumimoji="1" lang="ja-JP" altLang="en-US" sz="1600" i="1"/>
            </a:p>
          </xdr:txBody>
        </xdr:sp>
      </mc:Fallback>
    </mc:AlternateContent>
    <xdr:clientData/>
  </xdr:oneCellAnchor>
  <xdr:oneCellAnchor>
    <xdr:from>
      <xdr:col>65</xdr:col>
      <xdr:colOff>0</xdr:colOff>
      <xdr:row>32</xdr:row>
      <xdr:rowOff>2169</xdr:rowOff>
    </xdr:from>
    <xdr:ext cx="3420873" cy="255006"/>
    <mc:AlternateContent xmlns:mc="http://schemas.openxmlformats.org/markup-compatibility/2006" xmlns:a14="http://schemas.microsoft.com/office/drawing/2010/main">
      <mc:Choice Requires="a14">
        <xdr:sp macro="" textlink="">
          <xdr:nvSpPr>
            <xdr:cNvPr id="15" name="テキスト ボックス 14">
              <a:extLst>
                <a:ext uri="{FF2B5EF4-FFF2-40B4-BE49-F238E27FC236}">
                  <a16:creationId xmlns:a16="http://schemas.microsoft.com/office/drawing/2014/main" id="{07B637C1-FB4F-4620-8D9E-A261FE7F1BA7}"/>
                </a:ext>
              </a:extLst>
            </xdr:cNvPr>
            <xdr:cNvSpPr txBox="1"/>
          </xdr:nvSpPr>
          <xdr:spPr>
            <a:xfrm>
              <a:off x="18259425" y="7622169"/>
              <a:ext cx="3420873"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kumimoji="1" lang="en-US" altLang="ja-JP" sz="1600" b="0" i="1">
                            <a:latin typeface="Cambria Math" panose="02040503050406030204" pitchFamily="18" charset="0"/>
                          </a:rPr>
                        </m:ctrlPr>
                      </m:dPr>
                      <m:e>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𝑢</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𝑣</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𝑞</m:t>
                        </m:r>
                      </m:e>
                    </m:d>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𝑢</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𝑣</m:t>
                        </m:r>
                      </m:e>
                    </m:d>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3</m:t>
                        </m:r>
                        <m:r>
                          <a:rPr kumimoji="1" lang="en-US" altLang="ja-JP" sz="1600" b="0" i="1">
                            <a:latin typeface="Cambria Math" panose="02040503050406030204" pitchFamily="18" charset="0"/>
                          </a:rPr>
                          <m:t>𝑢𝑣</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e>
                    </m:d>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15" name="テキスト ボックス 14">
              <a:extLst>
                <a:ext uri="{FF2B5EF4-FFF2-40B4-BE49-F238E27FC236}">
                  <a16:creationId xmlns:a16="http://schemas.microsoft.com/office/drawing/2014/main" id="{07B637C1-FB4F-4620-8D9E-A261FE7F1BA7}"/>
                </a:ext>
              </a:extLst>
            </xdr:cNvPr>
            <xdr:cNvSpPr txBox="1"/>
          </xdr:nvSpPr>
          <xdr:spPr>
            <a:xfrm>
              <a:off x="18259425" y="7622169"/>
              <a:ext cx="3420873"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(𝑢^3+𝑣^3+𝑞)+(𝑢+𝑣)(3𝑢𝑣+𝑝)=0</a:t>
              </a:r>
              <a:endParaRPr kumimoji="1" lang="ja-JP" altLang="en-US" sz="1600" i="1"/>
            </a:p>
          </xdr:txBody>
        </xdr:sp>
      </mc:Fallback>
    </mc:AlternateContent>
    <xdr:clientData/>
  </xdr:oneCellAnchor>
  <xdr:oneCellAnchor>
    <xdr:from>
      <xdr:col>65</xdr:col>
      <xdr:colOff>0</xdr:colOff>
      <xdr:row>34</xdr:row>
      <xdr:rowOff>0</xdr:rowOff>
    </xdr:from>
    <xdr:ext cx="1572225" cy="549253"/>
    <mc:AlternateContent xmlns:mc="http://schemas.openxmlformats.org/markup-compatibility/2006" xmlns:a14="http://schemas.microsoft.com/office/drawing/2010/main">
      <mc:Choice Requires="a14">
        <xdr:sp macro="" textlink="">
          <xdr:nvSpPr>
            <xdr:cNvPr id="16" name="テキスト ボックス 15">
              <a:extLst>
                <a:ext uri="{FF2B5EF4-FFF2-40B4-BE49-F238E27FC236}">
                  <a16:creationId xmlns:a16="http://schemas.microsoft.com/office/drawing/2014/main" id="{3221F512-AC1F-45C8-8FDB-54D6BB639822}"/>
                </a:ext>
              </a:extLst>
            </xdr:cNvPr>
            <xdr:cNvSpPr txBox="1"/>
          </xdr:nvSpPr>
          <xdr:spPr>
            <a:xfrm>
              <a:off x="18259425" y="8096250"/>
              <a:ext cx="1572225" cy="54925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begChr m:val="{"/>
                        <m:endChr m:val=""/>
                        <m:ctrlPr>
                          <a:rPr kumimoji="1" lang="en-US" altLang="ja-JP" sz="1600" b="0" i="1">
                            <a:latin typeface="Cambria Math" panose="02040503050406030204" pitchFamily="18" charset="0"/>
                          </a:rPr>
                        </m:ctrlPr>
                      </m:dPr>
                      <m:e>
                        <m:eqArr>
                          <m:eqArrPr>
                            <m:ctrlPr>
                              <a:rPr kumimoji="1" lang="en-US" altLang="ja-JP" sz="1600" b="0" i="1">
                                <a:latin typeface="Cambria Math" panose="02040503050406030204" pitchFamily="18" charset="0"/>
                              </a:rPr>
                            </m:ctrlPr>
                          </m:eqArrPr>
                          <m:e>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𝑢</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𝑣</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𝑞</m:t>
                            </m:r>
                            <m:r>
                              <a:rPr kumimoji="1" lang="en-US" altLang="ja-JP" sz="1600" b="0" i="1">
                                <a:latin typeface="Cambria Math" panose="02040503050406030204" pitchFamily="18" charset="0"/>
                              </a:rPr>
                              <m:t>=0</m:t>
                            </m:r>
                          </m:e>
                          <m:e>
                            <m:r>
                              <a:rPr kumimoji="1" lang="en-US" altLang="ja-JP" sz="1600" b="0" i="1">
                                <a:latin typeface="Cambria Math" panose="02040503050406030204" pitchFamily="18" charset="0"/>
                              </a:rPr>
                              <m:t>3</m:t>
                            </m:r>
                            <m:r>
                              <a:rPr kumimoji="1" lang="en-US" altLang="ja-JP" sz="1600" b="0" i="1">
                                <a:latin typeface="Cambria Math" panose="02040503050406030204" pitchFamily="18" charset="0"/>
                              </a:rPr>
                              <m:t>𝑢𝑣</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r>
                              <a:rPr kumimoji="1" lang="en-US" altLang="ja-JP" sz="1600" b="0" i="1">
                                <a:latin typeface="Cambria Math" panose="02040503050406030204" pitchFamily="18" charset="0"/>
                              </a:rPr>
                              <m:t>=0</m:t>
                            </m:r>
                          </m:e>
                        </m:eqArr>
                      </m:e>
                    </m:d>
                  </m:oMath>
                </m:oMathPara>
              </a14:m>
              <a:endParaRPr kumimoji="1" lang="ja-JP" altLang="en-US" sz="1600" i="1"/>
            </a:p>
          </xdr:txBody>
        </xdr:sp>
      </mc:Choice>
      <mc:Fallback xmlns="">
        <xdr:sp macro="" textlink="">
          <xdr:nvSpPr>
            <xdr:cNvPr id="16" name="テキスト ボックス 15">
              <a:extLst>
                <a:ext uri="{FF2B5EF4-FFF2-40B4-BE49-F238E27FC236}">
                  <a16:creationId xmlns:a16="http://schemas.microsoft.com/office/drawing/2014/main" id="{3221F512-AC1F-45C8-8FDB-54D6BB639822}"/>
                </a:ext>
              </a:extLst>
            </xdr:cNvPr>
            <xdr:cNvSpPr txBox="1"/>
          </xdr:nvSpPr>
          <xdr:spPr>
            <a:xfrm>
              <a:off x="18259425" y="8096250"/>
              <a:ext cx="1572225" cy="54925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{█(𝑢^3+𝑣^3+𝑞=0@3𝑢𝑣+𝑝=0)┤</a:t>
              </a:r>
              <a:endParaRPr kumimoji="1" lang="ja-JP" altLang="en-US" sz="1600" i="1"/>
            </a:p>
          </xdr:txBody>
        </xdr:sp>
      </mc:Fallback>
    </mc:AlternateContent>
    <xdr:clientData/>
  </xdr:oneCellAnchor>
  <xdr:oneCellAnchor>
    <xdr:from>
      <xdr:col>65</xdr:col>
      <xdr:colOff>6886</xdr:colOff>
      <xdr:row>37</xdr:row>
      <xdr:rowOff>6722</xdr:rowOff>
    </xdr:from>
    <xdr:ext cx="701539" cy="420115"/>
    <mc:AlternateContent xmlns:mc="http://schemas.openxmlformats.org/markup-compatibility/2006" xmlns:a14="http://schemas.microsoft.com/office/drawing/2010/main">
      <mc:Choice Requires="a14">
        <xdr:sp macro="" textlink="">
          <xdr:nvSpPr>
            <xdr:cNvPr id="17" name="テキスト ボックス 16">
              <a:extLst>
                <a:ext uri="{FF2B5EF4-FFF2-40B4-BE49-F238E27FC236}">
                  <a16:creationId xmlns:a16="http://schemas.microsoft.com/office/drawing/2014/main" id="{08EBFAA1-EBA2-4C36-8279-4C65BF2F9FCB}"/>
                </a:ext>
              </a:extLst>
            </xdr:cNvPr>
            <xdr:cNvSpPr txBox="1"/>
          </xdr:nvSpPr>
          <xdr:spPr>
            <a:xfrm>
              <a:off x="18266311" y="8817347"/>
              <a:ext cx="701539" cy="42011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𝑣</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num>
                      <m:den>
                        <m:r>
                          <a:rPr kumimoji="1" lang="en-US" altLang="ja-JP" sz="1600" b="0" i="1">
                            <a:latin typeface="Cambria Math" panose="02040503050406030204" pitchFamily="18" charset="0"/>
                          </a:rPr>
                          <m:t>3</m:t>
                        </m:r>
                        <m:r>
                          <a:rPr kumimoji="1" lang="en-US" altLang="ja-JP" sz="1600" b="0" i="1">
                            <a:latin typeface="Cambria Math" panose="02040503050406030204" pitchFamily="18" charset="0"/>
                          </a:rPr>
                          <m:t>𝑢</m:t>
                        </m:r>
                      </m:den>
                    </m:f>
                  </m:oMath>
                </m:oMathPara>
              </a14:m>
              <a:endParaRPr kumimoji="1" lang="ja-JP" altLang="en-US" sz="1600" i="1"/>
            </a:p>
          </xdr:txBody>
        </xdr:sp>
      </mc:Choice>
      <mc:Fallback xmlns="">
        <xdr:sp macro="" textlink="">
          <xdr:nvSpPr>
            <xdr:cNvPr id="17" name="テキスト ボックス 16">
              <a:extLst>
                <a:ext uri="{FF2B5EF4-FFF2-40B4-BE49-F238E27FC236}">
                  <a16:creationId xmlns:a16="http://schemas.microsoft.com/office/drawing/2014/main" id="{08EBFAA1-EBA2-4C36-8279-4C65BF2F9FCB}"/>
                </a:ext>
              </a:extLst>
            </xdr:cNvPr>
            <xdr:cNvSpPr txBox="1"/>
          </xdr:nvSpPr>
          <xdr:spPr>
            <a:xfrm>
              <a:off x="18266311" y="8817347"/>
              <a:ext cx="701539" cy="42011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𝑣=(−𝑝)/3𝑢</a:t>
              </a:r>
              <a:endParaRPr kumimoji="1" lang="ja-JP" altLang="en-US" sz="1600" i="1"/>
            </a:p>
          </xdr:txBody>
        </xdr:sp>
      </mc:Fallback>
    </mc:AlternateContent>
    <xdr:clientData/>
  </xdr:oneCellAnchor>
  <xdr:oneCellAnchor>
    <xdr:from>
      <xdr:col>65</xdr:col>
      <xdr:colOff>0</xdr:colOff>
      <xdr:row>39</xdr:row>
      <xdr:rowOff>2169</xdr:rowOff>
    </xdr:from>
    <xdr:ext cx="1817741" cy="470322"/>
    <mc:AlternateContent xmlns:mc="http://schemas.openxmlformats.org/markup-compatibility/2006" xmlns:a14="http://schemas.microsoft.com/office/drawing/2010/main">
      <mc:Choice Requires="a14">
        <xdr:sp macro="" textlink="">
          <xdr:nvSpPr>
            <xdr:cNvPr id="18" name="テキスト ボックス 17">
              <a:extLst>
                <a:ext uri="{FF2B5EF4-FFF2-40B4-BE49-F238E27FC236}">
                  <a16:creationId xmlns:a16="http://schemas.microsoft.com/office/drawing/2014/main" id="{F5A38BA5-FC1C-42DB-A4DB-6D8F7254B1C8}"/>
                </a:ext>
              </a:extLst>
            </xdr:cNvPr>
            <xdr:cNvSpPr txBox="1"/>
          </xdr:nvSpPr>
          <xdr:spPr>
            <a:xfrm>
              <a:off x="18259425" y="9289044"/>
              <a:ext cx="1817741" cy="47032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𝑢</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sSup>
                      <m:sSupPr>
                        <m:ctrlPr>
                          <a:rPr kumimoji="1" lang="en-US" altLang="ja-JP" sz="1600" b="0" i="1">
                            <a:latin typeface="Cambria Math" panose="02040503050406030204" pitchFamily="18" charset="0"/>
                          </a:rPr>
                        </m:ctrlPr>
                      </m:sSupPr>
                      <m:e>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num>
                              <m:den>
                                <m:r>
                                  <a:rPr kumimoji="1" lang="en-US" altLang="ja-JP" sz="1600" b="0" i="1">
                                    <a:latin typeface="Cambria Math" panose="02040503050406030204" pitchFamily="18" charset="0"/>
                                  </a:rPr>
                                  <m:t>3</m:t>
                                </m:r>
                                <m:r>
                                  <a:rPr kumimoji="1" lang="en-US" altLang="ja-JP" sz="1600" b="0" i="1">
                                    <a:latin typeface="Cambria Math" panose="02040503050406030204" pitchFamily="18" charset="0"/>
                                  </a:rPr>
                                  <m:t>𝑢</m:t>
                                </m:r>
                              </m:den>
                            </m:f>
                          </m:e>
                        </m:d>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𝑞</m:t>
                    </m:r>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18" name="テキスト ボックス 17">
              <a:extLst>
                <a:ext uri="{FF2B5EF4-FFF2-40B4-BE49-F238E27FC236}">
                  <a16:creationId xmlns:a16="http://schemas.microsoft.com/office/drawing/2014/main" id="{F5A38BA5-FC1C-42DB-A4DB-6D8F7254B1C8}"/>
                </a:ext>
              </a:extLst>
            </xdr:cNvPr>
            <xdr:cNvSpPr txBox="1"/>
          </xdr:nvSpPr>
          <xdr:spPr>
            <a:xfrm>
              <a:off x="18259425" y="9289044"/>
              <a:ext cx="1817741" cy="47032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𝑢^3+((−𝑝)/3𝑢)^3+𝑞=0</a:t>
              </a:r>
              <a:endParaRPr kumimoji="1" lang="ja-JP" altLang="en-US" sz="1600" i="1"/>
            </a:p>
          </xdr:txBody>
        </xdr:sp>
      </mc:Fallback>
    </mc:AlternateContent>
    <xdr:clientData/>
  </xdr:oneCellAnchor>
  <xdr:oneCellAnchor>
    <xdr:from>
      <xdr:col>65</xdr:col>
      <xdr:colOff>0</xdr:colOff>
      <xdr:row>41</xdr:row>
      <xdr:rowOff>5300</xdr:rowOff>
    </xdr:from>
    <xdr:ext cx="1747465" cy="509050"/>
    <mc:AlternateContent xmlns:mc="http://schemas.openxmlformats.org/markup-compatibility/2006" xmlns:a14="http://schemas.microsoft.com/office/drawing/2010/main">
      <mc:Choice Requires="a14">
        <xdr:sp macro="" textlink="">
          <xdr:nvSpPr>
            <xdr:cNvPr id="19" name="テキスト ボックス 18">
              <a:extLst>
                <a:ext uri="{FF2B5EF4-FFF2-40B4-BE49-F238E27FC236}">
                  <a16:creationId xmlns:a16="http://schemas.microsoft.com/office/drawing/2014/main" id="{99575D66-CDC2-4A06-AB8C-1A0120BEDD17}"/>
                </a:ext>
              </a:extLst>
            </xdr:cNvPr>
            <xdr:cNvSpPr txBox="1"/>
          </xdr:nvSpPr>
          <xdr:spPr>
            <a:xfrm>
              <a:off x="18259425" y="9768425"/>
              <a:ext cx="1747465" cy="50905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𝑢</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e>
                          <m:sup>
                            <m:r>
                              <a:rPr kumimoji="1" lang="en-US" altLang="ja-JP" sz="1600" b="0" i="1">
                                <a:latin typeface="Cambria Math" panose="02040503050406030204" pitchFamily="18" charset="0"/>
                              </a:rPr>
                              <m:t>3</m:t>
                            </m:r>
                          </m:sup>
                        </m:sSup>
                      </m:num>
                      <m:den>
                        <m:r>
                          <a:rPr kumimoji="1" lang="en-US" altLang="ja-JP" sz="1600" b="0" i="1">
                            <a:latin typeface="Cambria Math" panose="02040503050406030204" pitchFamily="18" charset="0"/>
                          </a:rPr>
                          <m:t>27</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𝑢</m:t>
                            </m:r>
                          </m:e>
                          <m:sup>
                            <m:r>
                              <a:rPr kumimoji="1" lang="en-US" altLang="ja-JP" sz="1600" b="0" i="1">
                                <a:latin typeface="Cambria Math" panose="02040503050406030204" pitchFamily="18" charset="0"/>
                              </a:rPr>
                              <m:t>3</m:t>
                            </m:r>
                          </m:sup>
                        </m:sSup>
                      </m:den>
                    </m:f>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𝑞</m:t>
                    </m:r>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19" name="テキスト ボックス 18">
              <a:extLst>
                <a:ext uri="{FF2B5EF4-FFF2-40B4-BE49-F238E27FC236}">
                  <a16:creationId xmlns:a16="http://schemas.microsoft.com/office/drawing/2014/main" id="{99575D66-CDC2-4A06-AB8C-1A0120BEDD17}"/>
                </a:ext>
              </a:extLst>
            </xdr:cNvPr>
            <xdr:cNvSpPr txBox="1"/>
          </xdr:nvSpPr>
          <xdr:spPr>
            <a:xfrm>
              <a:off x="18259425" y="9768425"/>
              <a:ext cx="1747465" cy="50905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𝑢^3+〖−𝑝〗^3/(27𝑢^3 )+𝑞=0</a:t>
              </a:r>
              <a:endParaRPr kumimoji="1" lang="ja-JP" altLang="en-US" sz="1600" i="1"/>
            </a:p>
          </xdr:txBody>
        </xdr:sp>
      </mc:Fallback>
    </mc:AlternateContent>
    <xdr:clientData/>
  </xdr:oneCellAnchor>
  <xdr:oneCellAnchor>
    <xdr:from>
      <xdr:col>65</xdr:col>
      <xdr:colOff>0</xdr:colOff>
      <xdr:row>43</xdr:row>
      <xdr:rowOff>5300</xdr:rowOff>
    </xdr:from>
    <xdr:ext cx="1836657" cy="493212"/>
    <mc:AlternateContent xmlns:mc="http://schemas.openxmlformats.org/markup-compatibility/2006" xmlns:a14="http://schemas.microsoft.com/office/drawing/2010/main">
      <mc:Choice Requires="a14">
        <xdr:sp macro="" textlink="">
          <xdr:nvSpPr>
            <xdr:cNvPr id="20" name="テキスト ボックス 19">
              <a:extLst>
                <a:ext uri="{FF2B5EF4-FFF2-40B4-BE49-F238E27FC236}">
                  <a16:creationId xmlns:a16="http://schemas.microsoft.com/office/drawing/2014/main" id="{8B456CEE-D2D4-4F3F-9633-54B19247A8F4}"/>
                </a:ext>
              </a:extLst>
            </xdr:cNvPr>
            <xdr:cNvSpPr txBox="1"/>
          </xdr:nvSpPr>
          <xdr:spPr>
            <a:xfrm>
              <a:off x="18259425" y="10244675"/>
              <a:ext cx="1836657" cy="49321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𝑢</m:t>
                        </m:r>
                      </m:e>
                      <m:sup>
                        <m:r>
                          <a:rPr kumimoji="1" lang="en-US" altLang="ja-JP" sz="1600" b="0" i="1">
                            <a:latin typeface="Cambria Math" panose="02040503050406030204" pitchFamily="18" charset="0"/>
                          </a:rPr>
                          <m:t>6</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𝑞</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𝑢</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e>
                          <m:sup>
                            <m:r>
                              <a:rPr kumimoji="1" lang="en-US" altLang="ja-JP" sz="1600" b="0" i="1">
                                <a:latin typeface="Cambria Math" panose="02040503050406030204" pitchFamily="18" charset="0"/>
                              </a:rPr>
                              <m:t>3</m:t>
                            </m:r>
                          </m:sup>
                        </m:sSup>
                      </m:num>
                      <m:den>
                        <m:r>
                          <a:rPr kumimoji="1" lang="en-US" altLang="ja-JP" sz="1600" b="0" i="1">
                            <a:latin typeface="Cambria Math" panose="02040503050406030204" pitchFamily="18" charset="0"/>
                          </a:rPr>
                          <m:t>27</m:t>
                        </m:r>
                      </m:den>
                    </m:f>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20" name="テキスト ボックス 19">
              <a:extLst>
                <a:ext uri="{FF2B5EF4-FFF2-40B4-BE49-F238E27FC236}">
                  <a16:creationId xmlns:a16="http://schemas.microsoft.com/office/drawing/2014/main" id="{8B456CEE-D2D4-4F3F-9633-54B19247A8F4}"/>
                </a:ext>
              </a:extLst>
            </xdr:cNvPr>
            <xdr:cNvSpPr txBox="1"/>
          </xdr:nvSpPr>
          <xdr:spPr>
            <a:xfrm>
              <a:off x="18259425" y="10244675"/>
              <a:ext cx="1836657" cy="49321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𝑢^6+𝑞𝑢^3+〖−𝑝〗^3/27=0</a:t>
              </a:r>
              <a:endParaRPr kumimoji="1" lang="ja-JP" altLang="en-US" sz="1600" i="1"/>
            </a:p>
          </xdr:txBody>
        </xdr:sp>
      </mc:Fallback>
    </mc:AlternateContent>
    <xdr:clientData/>
  </xdr:oneCellAnchor>
  <xdr:oneCellAnchor>
    <xdr:from>
      <xdr:col>69</xdr:col>
      <xdr:colOff>508136</xdr:colOff>
      <xdr:row>37</xdr:row>
      <xdr:rowOff>0</xdr:rowOff>
    </xdr:from>
    <xdr:ext cx="706797" cy="421719"/>
    <mc:AlternateContent xmlns:mc="http://schemas.openxmlformats.org/markup-compatibility/2006" xmlns:a14="http://schemas.microsoft.com/office/drawing/2010/main">
      <mc:Choice Requires="a14">
        <xdr:sp macro="" textlink="">
          <xdr:nvSpPr>
            <xdr:cNvPr id="21" name="テキスト ボックス 20">
              <a:extLst>
                <a:ext uri="{FF2B5EF4-FFF2-40B4-BE49-F238E27FC236}">
                  <a16:creationId xmlns:a16="http://schemas.microsoft.com/office/drawing/2014/main" id="{68F757D8-6729-455F-824E-C45B8B0E0985}"/>
                </a:ext>
              </a:extLst>
            </xdr:cNvPr>
            <xdr:cNvSpPr txBox="1"/>
          </xdr:nvSpPr>
          <xdr:spPr>
            <a:xfrm>
              <a:off x="19548611" y="8810625"/>
              <a:ext cx="706797"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𝑢</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num>
                      <m:den>
                        <m:r>
                          <a:rPr kumimoji="1" lang="en-US" altLang="ja-JP" sz="1600" b="0" i="1">
                            <a:latin typeface="Cambria Math" panose="02040503050406030204" pitchFamily="18" charset="0"/>
                          </a:rPr>
                          <m:t>3</m:t>
                        </m:r>
                        <m:r>
                          <a:rPr kumimoji="1" lang="en-US" altLang="ja-JP" sz="1600" b="0" i="1">
                            <a:latin typeface="Cambria Math" panose="02040503050406030204" pitchFamily="18" charset="0"/>
                          </a:rPr>
                          <m:t>𝑣</m:t>
                        </m:r>
                      </m:den>
                    </m:f>
                  </m:oMath>
                </m:oMathPara>
              </a14:m>
              <a:endParaRPr kumimoji="1" lang="ja-JP" altLang="en-US" sz="1600" i="1"/>
            </a:p>
          </xdr:txBody>
        </xdr:sp>
      </mc:Choice>
      <mc:Fallback xmlns="">
        <xdr:sp macro="" textlink="">
          <xdr:nvSpPr>
            <xdr:cNvPr id="21" name="テキスト ボックス 20">
              <a:extLst>
                <a:ext uri="{FF2B5EF4-FFF2-40B4-BE49-F238E27FC236}">
                  <a16:creationId xmlns:a16="http://schemas.microsoft.com/office/drawing/2014/main" id="{68F757D8-6729-455F-824E-C45B8B0E0985}"/>
                </a:ext>
              </a:extLst>
            </xdr:cNvPr>
            <xdr:cNvSpPr txBox="1"/>
          </xdr:nvSpPr>
          <xdr:spPr>
            <a:xfrm>
              <a:off x="19548611" y="8810625"/>
              <a:ext cx="706797"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𝑢=(−𝑝)/3𝑣</a:t>
              </a:r>
              <a:endParaRPr kumimoji="1" lang="ja-JP" altLang="en-US" sz="1600" i="1"/>
            </a:p>
          </xdr:txBody>
        </xdr:sp>
      </mc:Fallback>
    </mc:AlternateContent>
    <xdr:clientData/>
  </xdr:oneCellAnchor>
  <xdr:oneCellAnchor>
    <xdr:from>
      <xdr:col>69</xdr:col>
      <xdr:colOff>420634</xdr:colOff>
      <xdr:row>39</xdr:row>
      <xdr:rowOff>0</xdr:rowOff>
    </xdr:from>
    <xdr:ext cx="1818511" cy="470385"/>
    <mc:AlternateContent xmlns:mc="http://schemas.openxmlformats.org/markup-compatibility/2006" xmlns:a14="http://schemas.microsoft.com/office/drawing/2010/main">
      <mc:Choice Requires="a14">
        <xdr:sp macro="" textlink="">
          <xdr:nvSpPr>
            <xdr:cNvPr id="22" name="テキスト ボックス 21">
              <a:extLst>
                <a:ext uri="{FF2B5EF4-FFF2-40B4-BE49-F238E27FC236}">
                  <a16:creationId xmlns:a16="http://schemas.microsoft.com/office/drawing/2014/main" id="{9A8DEFE8-A4BD-4D2B-A081-EBF2E9D1D575}"/>
                </a:ext>
              </a:extLst>
            </xdr:cNvPr>
            <xdr:cNvSpPr txBox="1"/>
          </xdr:nvSpPr>
          <xdr:spPr>
            <a:xfrm>
              <a:off x="19546834" y="9286875"/>
              <a:ext cx="1818511" cy="47038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num>
                              <m:den>
                                <m:r>
                                  <a:rPr kumimoji="1" lang="en-US" altLang="ja-JP" sz="1600" b="0" i="1">
                                    <a:latin typeface="Cambria Math" panose="02040503050406030204" pitchFamily="18" charset="0"/>
                                  </a:rPr>
                                  <m:t>3</m:t>
                                </m:r>
                                <m:r>
                                  <a:rPr kumimoji="1" lang="en-US" altLang="ja-JP" sz="1600" b="0" i="1">
                                    <a:latin typeface="Cambria Math" panose="02040503050406030204" pitchFamily="18" charset="0"/>
                                  </a:rPr>
                                  <m:t>𝑣</m:t>
                                </m:r>
                              </m:den>
                            </m:f>
                          </m:e>
                        </m:d>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𝑣</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𝑞</m:t>
                    </m:r>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22" name="テキスト ボックス 21">
              <a:extLst>
                <a:ext uri="{FF2B5EF4-FFF2-40B4-BE49-F238E27FC236}">
                  <a16:creationId xmlns:a16="http://schemas.microsoft.com/office/drawing/2014/main" id="{9A8DEFE8-A4BD-4D2B-A081-EBF2E9D1D575}"/>
                </a:ext>
              </a:extLst>
            </xdr:cNvPr>
            <xdr:cNvSpPr txBox="1"/>
          </xdr:nvSpPr>
          <xdr:spPr>
            <a:xfrm>
              <a:off x="19546834" y="9286875"/>
              <a:ext cx="1818511" cy="47038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((−𝑝)/3𝑣)^3+𝑣^3+𝑞=0</a:t>
              </a:r>
              <a:endParaRPr kumimoji="1" lang="ja-JP" altLang="en-US" sz="1600" i="1"/>
            </a:p>
          </xdr:txBody>
        </xdr:sp>
      </mc:Fallback>
    </mc:AlternateContent>
    <xdr:clientData/>
  </xdr:oneCellAnchor>
  <xdr:oneCellAnchor>
    <xdr:from>
      <xdr:col>69</xdr:col>
      <xdr:colOff>540346</xdr:colOff>
      <xdr:row>41</xdr:row>
      <xdr:rowOff>0</xdr:rowOff>
    </xdr:from>
    <xdr:ext cx="1698029" cy="494174"/>
    <mc:AlternateContent xmlns:mc="http://schemas.openxmlformats.org/markup-compatibility/2006" xmlns:a14="http://schemas.microsoft.com/office/drawing/2010/main">
      <mc:Choice Requires="a14">
        <xdr:sp macro="" textlink="">
          <xdr:nvSpPr>
            <xdr:cNvPr id="23" name="テキスト ボックス 22">
              <a:extLst>
                <a:ext uri="{FF2B5EF4-FFF2-40B4-BE49-F238E27FC236}">
                  <a16:creationId xmlns:a16="http://schemas.microsoft.com/office/drawing/2014/main" id="{3D47C9B2-D554-417C-93D1-3032EA25A7E2}"/>
                </a:ext>
              </a:extLst>
            </xdr:cNvPr>
            <xdr:cNvSpPr txBox="1"/>
          </xdr:nvSpPr>
          <xdr:spPr>
            <a:xfrm>
              <a:off x="19542721" y="9763125"/>
              <a:ext cx="1698029" cy="494174"/>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𝑣</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e>
                          <m:sup>
                            <m:r>
                              <a:rPr kumimoji="1" lang="en-US" altLang="ja-JP" sz="1600" b="0" i="1">
                                <a:latin typeface="Cambria Math" panose="02040503050406030204" pitchFamily="18" charset="0"/>
                              </a:rPr>
                              <m:t>3</m:t>
                            </m:r>
                          </m:sup>
                        </m:sSup>
                      </m:num>
                      <m:den>
                        <m:r>
                          <a:rPr kumimoji="1" lang="en-US" altLang="ja-JP" sz="1600" b="0" i="1">
                            <a:latin typeface="Cambria Math" panose="02040503050406030204" pitchFamily="18" charset="0"/>
                          </a:rPr>
                          <m:t>27</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𝑣</m:t>
                            </m:r>
                          </m:e>
                          <m:sup>
                            <m:r>
                              <a:rPr kumimoji="1" lang="en-US" altLang="ja-JP" sz="1600" b="0" i="1">
                                <a:latin typeface="Cambria Math" panose="02040503050406030204" pitchFamily="18" charset="0"/>
                              </a:rPr>
                              <m:t>3</m:t>
                            </m:r>
                          </m:sup>
                        </m:sSup>
                      </m:den>
                    </m:f>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𝑞</m:t>
                    </m:r>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23" name="テキスト ボックス 22">
              <a:extLst>
                <a:ext uri="{FF2B5EF4-FFF2-40B4-BE49-F238E27FC236}">
                  <a16:creationId xmlns:a16="http://schemas.microsoft.com/office/drawing/2014/main" id="{3D47C9B2-D554-417C-93D1-3032EA25A7E2}"/>
                </a:ext>
              </a:extLst>
            </xdr:cNvPr>
            <xdr:cNvSpPr txBox="1"/>
          </xdr:nvSpPr>
          <xdr:spPr>
            <a:xfrm>
              <a:off x="19542721" y="9763125"/>
              <a:ext cx="1698029" cy="494174"/>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𝑣^3+〖−𝑝〗^3/(27𝑣^3 )+𝑞=0</a:t>
              </a:r>
              <a:endParaRPr kumimoji="1" lang="ja-JP" altLang="en-US" sz="1600" i="1"/>
            </a:p>
          </xdr:txBody>
        </xdr:sp>
      </mc:Fallback>
    </mc:AlternateContent>
    <xdr:clientData/>
  </xdr:oneCellAnchor>
  <xdr:oneCellAnchor>
    <xdr:from>
      <xdr:col>69</xdr:col>
      <xdr:colOff>336059</xdr:colOff>
      <xdr:row>43</xdr:row>
      <xdr:rowOff>21138</xdr:rowOff>
    </xdr:from>
    <xdr:ext cx="1902316" cy="493212"/>
    <mc:AlternateContent xmlns:mc="http://schemas.openxmlformats.org/markup-compatibility/2006" xmlns:a14="http://schemas.microsoft.com/office/drawing/2010/main">
      <mc:Choice Requires="a14">
        <xdr:sp macro="" textlink="">
          <xdr:nvSpPr>
            <xdr:cNvPr id="24" name="テキスト ボックス 23">
              <a:extLst>
                <a:ext uri="{FF2B5EF4-FFF2-40B4-BE49-F238E27FC236}">
                  <a16:creationId xmlns:a16="http://schemas.microsoft.com/office/drawing/2014/main" id="{398B5F64-D38A-4B86-96A2-ADB22DFBFA8B}"/>
                </a:ext>
              </a:extLst>
            </xdr:cNvPr>
            <xdr:cNvSpPr txBox="1"/>
          </xdr:nvSpPr>
          <xdr:spPr>
            <a:xfrm>
              <a:off x="19547984" y="10260513"/>
              <a:ext cx="1902316" cy="49321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𝑣</m:t>
                        </m:r>
                      </m:e>
                      <m:sup>
                        <m:r>
                          <a:rPr kumimoji="1" lang="en-US" altLang="ja-JP" sz="1600" b="0" i="1">
                            <a:latin typeface="Cambria Math" panose="02040503050406030204" pitchFamily="18" charset="0"/>
                          </a:rPr>
                          <m:t>6</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𝑞</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𝑣</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e>
                          <m:sup>
                            <m:r>
                              <a:rPr kumimoji="1" lang="en-US" altLang="ja-JP" sz="1600" b="0" i="1">
                                <a:latin typeface="Cambria Math" panose="02040503050406030204" pitchFamily="18" charset="0"/>
                              </a:rPr>
                              <m:t>3</m:t>
                            </m:r>
                          </m:sup>
                        </m:sSup>
                      </m:num>
                      <m:den>
                        <m:r>
                          <a:rPr kumimoji="1" lang="en-US" altLang="ja-JP" sz="1600" b="0" i="1">
                            <a:latin typeface="Cambria Math" panose="02040503050406030204" pitchFamily="18" charset="0"/>
                          </a:rPr>
                          <m:t>27</m:t>
                        </m:r>
                      </m:den>
                    </m:f>
                    <m:r>
                      <a:rPr kumimoji="1" lang="en-US" altLang="ja-JP" sz="1600" b="0" i="1">
                        <a:latin typeface="Cambria Math" panose="02040503050406030204" pitchFamily="18" charset="0"/>
                      </a:rPr>
                      <m:t>=0</m:t>
                    </m:r>
                  </m:oMath>
                </m:oMathPara>
              </a14:m>
              <a:endParaRPr kumimoji="1" lang="ja-JP" altLang="en-US" sz="1600" i="1"/>
            </a:p>
          </xdr:txBody>
        </xdr:sp>
      </mc:Choice>
      <mc:Fallback xmlns="">
        <xdr:sp macro="" textlink="">
          <xdr:nvSpPr>
            <xdr:cNvPr id="24" name="テキスト ボックス 23">
              <a:extLst>
                <a:ext uri="{FF2B5EF4-FFF2-40B4-BE49-F238E27FC236}">
                  <a16:creationId xmlns:a16="http://schemas.microsoft.com/office/drawing/2014/main" id="{398B5F64-D38A-4B86-96A2-ADB22DFBFA8B}"/>
                </a:ext>
              </a:extLst>
            </xdr:cNvPr>
            <xdr:cNvSpPr txBox="1"/>
          </xdr:nvSpPr>
          <xdr:spPr>
            <a:xfrm>
              <a:off x="19547984" y="10260513"/>
              <a:ext cx="1902316" cy="49321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𝑣^6+𝑞𝑣^3+〖−𝑝〗^3/27=0</a:t>
              </a:r>
              <a:endParaRPr kumimoji="1" lang="ja-JP" altLang="en-US" sz="1600" i="1"/>
            </a:p>
          </xdr:txBody>
        </xdr:sp>
      </mc:Fallback>
    </mc:AlternateContent>
    <xdr:clientData/>
  </xdr:oneCellAnchor>
  <xdr:oneCellAnchor>
    <xdr:from>
      <xdr:col>65</xdr:col>
      <xdr:colOff>0</xdr:colOff>
      <xdr:row>46</xdr:row>
      <xdr:rowOff>0</xdr:rowOff>
    </xdr:from>
    <xdr:ext cx="1907894" cy="727507"/>
    <mc:AlternateContent xmlns:mc="http://schemas.openxmlformats.org/markup-compatibility/2006" xmlns:a14="http://schemas.microsoft.com/office/drawing/2010/main">
      <mc:Choice Requires="a14">
        <xdr:sp macro="" textlink="">
          <xdr:nvSpPr>
            <xdr:cNvPr id="25" name="テキスト ボックス 24">
              <a:extLst>
                <a:ext uri="{FF2B5EF4-FFF2-40B4-BE49-F238E27FC236}">
                  <a16:creationId xmlns:a16="http://schemas.microsoft.com/office/drawing/2014/main" id="{DDFDB445-A1C9-4EA3-A18E-9CC6D2B7F472}"/>
                </a:ext>
              </a:extLst>
            </xdr:cNvPr>
            <xdr:cNvSpPr txBox="1"/>
          </xdr:nvSpPr>
          <xdr:spPr>
            <a:xfrm>
              <a:off x="18259425" y="10953750"/>
              <a:ext cx="1907894" cy="72750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𝑢</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𝑞</m:t>
                        </m:r>
                      </m:num>
                      <m:den>
                        <m:r>
                          <a:rPr kumimoji="1" lang="en-US" altLang="ja-JP" sz="1600" b="0" i="1">
                            <a:latin typeface="Cambria Math" panose="02040503050406030204" pitchFamily="18" charset="0"/>
                          </a:rPr>
                          <m:t>2</m:t>
                        </m:r>
                      </m:den>
                    </m:f>
                    <m:r>
                      <a:rPr kumimoji="1" lang="en-US" altLang="ja-JP" sz="1600" b="0" i="1">
                        <a:latin typeface="Cambria Math" panose="02040503050406030204" pitchFamily="18" charset="0"/>
                        <a:ea typeface="Cambria Math" panose="02040503050406030204" pitchFamily="18" charset="0"/>
                      </a:rPr>
                      <m:t>±</m:t>
                    </m:r>
                    <m:rad>
                      <m:radPr>
                        <m:degHide m:val="on"/>
                        <m:ctrlPr>
                          <a:rPr kumimoji="1" lang="en-US" altLang="ja-JP" sz="1600" b="0" i="1">
                            <a:latin typeface="Cambria Math" panose="02040503050406030204" pitchFamily="18" charset="0"/>
                          </a:rPr>
                        </m:ctrlPr>
                      </m:radPr>
                      <m:deg/>
                      <m:e>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𝑞</m:t>
                                </m:r>
                              </m:e>
                              <m:sup>
                                <m:r>
                                  <a:rPr kumimoji="1" lang="en-US" altLang="ja-JP" sz="1600" b="0" i="1">
                                    <a:latin typeface="Cambria Math" panose="02040503050406030204" pitchFamily="18" charset="0"/>
                                  </a:rPr>
                                  <m:t>2</m:t>
                                </m:r>
                              </m:sup>
                            </m:sSup>
                          </m:num>
                          <m:den>
                            <m:r>
                              <a:rPr kumimoji="1" lang="en-US" altLang="ja-JP" sz="1600" b="0" i="1">
                                <a:latin typeface="Cambria Math" panose="02040503050406030204" pitchFamily="18" charset="0"/>
                              </a:rPr>
                              <m:t>4</m:t>
                            </m:r>
                          </m:den>
                        </m:f>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𝑝</m:t>
                                </m:r>
                              </m:e>
                              <m:sup>
                                <m:r>
                                  <a:rPr kumimoji="1" lang="en-US" altLang="ja-JP" sz="1600" b="0" i="1">
                                    <a:latin typeface="Cambria Math" panose="02040503050406030204" pitchFamily="18" charset="0"/>
                                  </a:rPr>
                                  <m:t>3</m:t>
                                </m:r>
                              </m:sup>
                            </m:sSup>
                          </m:num>
                          <m:den>
                            <m:r>
                              <a:rPr kumimoji="1" lang="en-US" altLang="ja-JP" sz="1600" b="0" i="1">
                                <a:latin typeface="Cambria Math" panose="02040503050406030204" pitchFamily="18" charset="0"/>
                              </a:rPr>
                              <m:t>27</m:t>
                            </m:r>
                          </m:den>
                        </m:f>
                      </m:e>
                    </m:rad>
                  </m:oMath>
                </m:oMathPara>
              </a14:m>
              <a:endParaRPr kumimoji="1" lang="ja-JP" altLang="en-US" sz="1600" i="1"/>
            </a:p>
          </xdr:txBody>
        </xdr:sp>
      </mc:Choice>
      <mc:Fallback xmlns="">
        <xdr:sp macro="" textlink="">
          <xdr:nvSpPr>
            <xdr:cNvPr id="25" name="テキスト ボックス 24">
              <a:extLst>
                <a:ext uri="{FF2B5EF4-FFF2-40B4-BE49-F238E27FC236}">
                  <a16:creationId xmlns:a16="http://schemas.microsoft.com/office/drawing/2014/main" id="{DDFDB445-A1C9-4EA3-A18E-9CC6D2B7F472}"/>
                </a:ext>
              </a:extLst>
            </xdr:cNvPr>
            <xdr:cNvSpPr txBox="1"/>
          </xdr:nvSpPr>
          <xdr:spPr>
            <a:xfrm>
              <a:off x="18259425" y="10953750"/>
              <a:ext cx="1907894" cy="72750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𝑢^3=−𝑞/2</a:t>
              </a:r>
              <a:r>
                <a:rPr kumimoji="1" lang="en-US" altLang="ja-JP" sz="1600" b="0" i="0">
                  <a:latin typeface="Cambria Math" panose="02040503050406030204" pitchFamily="18" charset="0"/>
                  <a:ea typeface="Cambria Math" panose="02040503050406030204" pitchFamily="18" charset="0"/>
                </a:rPr>
                <a:t>±</a:t>
              </a:r>
              <a:r>
                <a:rPr kumimoji="1" lang="en-US" altLang="ja-JP" sz="1600" b="0" i="0">
                  <a:latin typeface="Cambria Math" panose="02040503050406030204" pitchFamily="18" charset="0"/>
                </a:rPr>
                <a:t>√(𝑞^2/4+𝑝^3/27)</a:t>
              </a:r>
              <a:endParaRPr kumimoji="1" lang="ja-JP" altLang="en-US" sz="1600" i="1"/>
            </a:p>
          </xdr:txBody>
        </xdr:sp>
      </mc:Fallback>
    </mc:AlternateContent>
    <xdr:clientData/>
  </xdr:oneCellAnchor>
  <xdr:oneCellAnchor>
    <xdr:from>
      <xdr:col>69</xdr:col>
      <xdr:colOff>251677</xdr:colOff>
      <xdr:row>46</xdr:row>
      <xdr:rowOff>0</xdr:rowOff>
    </xdr:from>
    <xdr:ext cx="1986698" cy="727507"/>
    <mc:AlternateContent xmlns:mc="http://schemas.openxmlformats.org/markup-compatibility/2006" xmlns:a14="http://schemas.microsoft.com/office/drawing/2010/main">
      <mc:Choice Requires="a14">
        <xdr:sp macro="" textlink="">
          <xdr:nvSpPr>
            <xdr:cNvPr id="26" name="テキスト ボックス 25">
              <a:extLst>
                <a:ext uri="{FF2B5EF4-FFF2-40B4-BE49-F238E27FC236}">
                  <a16:creationId xmlns:a16="http://schemas.microsoft.com/office/drawing/2014/main" id="{6DB920D3-D8F6-4B90-BED7-C4EDB19DE008}"/>
                </a:ext>
              </a:extLst>
            </xdr:cNvPr>
            <xdr:cNvSpPr txBox="1"/>
          </xdr:nvSpPr>
          <xdr:spPr>
            <a:xfrm>
              <a:off x="19539802" y="10953750"/>
              <a:ext cx="1986698" cy="72750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𝑣</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𝑞</m:t>
                        </m:r>
                      </m:num>
                      <m:den>
                        <m:r>
                          <a:rPr kumimoji="1" lang="en-US" altLang="ja-JP" sz="1600" b="0" i="1">
                            <a:latin typeface="Cambria Math" panose="02040503050406030204" pitchFamily="18" charset="0"/>
                          </a:rPr>
                          <m:t>2</m:t>
                        </m:r>
                      </m:den>
                    </m:f>
                    <m:r>
                      <a:rPr kumimoji="1" lang="en-US" altLang="ja-JP" sz="1600" b="0" i="1">
                        <a:latin typeface="Cambria Math" panose="02040503050406030204" pitchFamily="18" charset="0"/>
                        <a:ea typeface="Cambria Math" panose="02040503050406030204" pitchFamily="18" charset="0"/>
                      </a:rPr>
                      <m:t>±</m:t>
                    </m:r>
                    <m:rad>
                      <m:radPr>
                        <m:degHide m:val="on"/>
                        <m:ctrlPr>
                          <a:rPr kumimoji="1" lang="en-US" altLang="ja-JP" sz="1600" b="0" i="1">
                            <a:latin typeface="Cambria Math" panose="02040503050406030204" pitchFamily="18" charset="0"/>
                          </a:rPr>
                        </m:ctrlPr>
                      </m:radPr>
                      <m:deg/>
                      <m:e>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𝑞</m:t>
                                </m:r>
                              </m:e>
                              <m:sup>
                                <m:r>
                                  <a:rPr kumimoji="1" lang="en-US" altLang="ja-JP" sz="1600" b="0" i="1">
                                    <a:latin typeface="Cambria Math" panose="02040503050406030204" pitchFamily="18" charset="0"/>
                                  </a:rPr>
                                  <m:t>2</m:t>
                                </m:r>
                              </m:sup>
                            </m:sSup>
                          </m:num>
                          <m:den>
                            <m:r>
                              <a:rPr kumimoji="1" lang="en-US" altLang="ja-JP" sz="1600" b="0" i="1">
                                <a:latin typeface="Cambria Math" panose="02040503050406030204" pitchFamily="18" charset="0"/>
                              </a:rPr>
                              <m:t>4</m:t>
                            </m:r>
                          </m:den>
                        </m:f>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𝑝</m:t>
                                </m:r>
                              </m:e>
                              <m:sup>
                                <m:r>
                                  <a:rPr kumimoji="1" lang="en-US" altLang="ja-JP" sz="1600" b="0" i="1">
                                    <a:latin typeface="Cambria Math" panose="02040503050406030204" pitchFamily="18" charset="0"/>
                                  </a:rPr>
                                  <m:t>3</m:t>
                                </m:r>
                              </m:sup>
                            </m:sSup>
                          </m:num>
                          <m:den>
                            <m:r>
                              <a:rPr kumimoji="1" lang="en-US" altLang="ja-JP" sz="1600" b="0" i="1">
                                <a:latin typeface="Cambria Math" panose="02040503050406030204" pitchFamily="18" charset="0"/>
                              </a:rPr>
                              <m:t>27</m:t>
                            </m:r>
                          </m:den>
                        </m:f>
                      </m:e>
                    </m:rad>
                  </m:oMath>
                </m:oMathPara>
              </a14:m>
              <a:endParaRPr kumimoji="1" lang="ja-JP" altLang="en-US" sz="1600" i="1"/>
            </a:p>
          </xdr:txBody>
        </xdr:sp>
      </mc:Choice>
      <mc:Fallback xmlns="">
        <xdr:sp macro="" textlink="">
          <xdr:nvSpPr>
            <xdr:cNvPr id="26" name="テキスト ボックス 25">
              <a:extLst>
                <a:ext uri="{FF2B5EF4-FFF2-40B4-BE49-F238E27FC236}">
                  <a16:creationId xmlns:a16="http://schemas.microsoft.com/office/drawing/2014/main" id="{6DB920D3-D8F6-4B90-BED7-C4EDB19DE008}"/>
                </a:ext>
              </a:extLst>
            </xdr:cNvPr>
            <xdr:cNvSpPr txBox="1"/>
          </xdr:nvSpPr>
          <xdr:spPr>
            <a:xfrm>
              <a:off x="19539802" y="10953750"/>
              <a:ext cx="1986698" cy="72750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𝑣^3=−𝑞/2</a:t>
              </a:r>
              <a:r>
                <a:rPr kumimoji="1" lang="en-US" altLang="ja-JP" sz="1600" b="0" i="0">
                  <a:latin typeface="Cambria Math" panose="02040503050406030204" pitchFamily="18" charset="0"/>
                  <a:ea typeface="Cambria Math" panose="02040503050406030204" pitchFamily="18" charset="0"/>
                </a:rPr>
                <a:t>±</a:t>
              </a:r>
              <a:r>
                <a:rPr kumimoji="1" lang="en-US" altLang="ja-JP" sz="1600" b="0" i="0">
                  <a:latin typeface="Cambria Math" panose="02040503050406030204" pitchFamily="18" charset="0"/>
                </a:rPr>
                <a:t>√(𝑞^2/4+𝑝^3/27)</a:t>
              </a:r>
              <a:endParaRPr kumimoji="1" lang="ja-JP" altLang="en-US" sz="1600" i="1"/>
            </a:p>
          </xdr:txBody>
        </xdr:sp>
      </mc:Fallback>
    </mc:AlternateContent>
    <xdr:clientData/>
  </xdr:oneCellAnchor>
  <xdr:oneCellAnchor>
    <xdr:from>
      <xdr:col>65</xdr:col>
      <xdr:colOff>0</xdr:colOff>
      <xdr:row>51</xdr:row>
      <xdr:rowOff>0</xdr:rowOff>
    </xdr:from>
    <xdr:ext cx="1907894" cy="727507"/>
    <mc:AlternateContent xmlns:mc="http://schemas.openxmlformats.org/markup-compatibility/2006" xmlns:a14="http://schemas.microsoft.com/office/drawing/2010/main">
      <mc:Choice Requires="a14">
        <xdr:sp macro="" textlink="">
          <xdr:nvSpPr>
            <xdr:cNvPr id="27" name="テキスト ボックス 26">
              <a:extLst>
                <a:ext uri="{FF2B5EF4-FFF2-40B4-BE49-F238E27FC236}">
                  <a16:creationId xmlns:a16="http://schemas.microsoft.com/office/drawing/2014/main" id="{7FAF515F-9624-4587-8012-B8238AEA6648}"/>
                </a:ext>
              </a:extLst>
            </xdr:cNvPr>
            <xdr:cNvSpPr txBox="1"/>
          </xdr:nvSpPr>
          <xdr:spPr>
            <a:xfrm>
              <a:off x="18259425" y="12144375"/>
              <a:ext cx="1907894" cy="72750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𝑢</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𝑞</m:t>
                        </m:r>
                      </m:num>
                      <m:den>
                        <m:r>
                          <a:rPr kumimoji="1" lang="en-US" altLang="ja-JP" sz="1600" b="0" i="1">
                            <a:latin typeface="Cambria Math" panose="02040503050406030204" pitchFamily="18" charset="0"/>
                          </a:rPr>
                          <m:t>2</m:t>
                        </m:r>
                      </m:den>
                    </m:f>
                    <m:r>
                      <a:rPr kumimoji="1" lang="en-US" altLang="ja-JP" sz="1600" b="0" i="1">
                        <a:latin typeface="Cambria Math" panose="02040503050406030204" pitchFamily="18" charset="0"/>
                        <a:ea typeface="Cambria Math" panose="02040503050406030204" pitchFamily="18" charset="0"/>
                      </a:rPr>
                      <m:t>+</m:t>
                    </m:r>
                    <m:rad>
                      <m:radPr>
                        <m:degHide m:val="on"/>
                        <m:ctrlPr>
                          <a:rPr kumimoji="1" lang="en-US" altLang="ja-JP" sz="1600" b="0" i="1">
                            <a:latin typeface="Cambria Math" panose="02040503050406030204" pitchFamily="18" charset="0"/>
                          </a:rPr>
                        </m:ctrlPr>
                      </m:radPr>
                      <m:deg/>
                      <m:e>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𝑞</m:t>
                                </m:r>
                              </m:e>
                              <m:sup>
                                <m:r>
                                  <a:rPr kumimoji="1" lang="en-US" altLang="ja-JP" sz="1600" b="0" i="1">
                                    <a:latin typeface="Cambria Math" panose="02040503050406030204" pitchFamily="18" charset="0"/>
                                  </a:rPr>
                                  <m:t>2</m:t>
                                </m:r>
                              </m:sup>
                            </m:sSup>
                          </m:num>
                          <m:den>
                            <m:r>
                              <a:rPr kumimoji="1" lang="en-US" altLang="ja-JP" sz="1600" b="0" i="1">
                                <a:latin typeface="Cambria Math" panose="02040503050406030204" pitchFamily="18" charset="0"/>
                              </a:rPr>
                              <m:t>4</m:t>
                            </m:r>
                          </m:den>
                        </m:f>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𝑝</m:t>
                                </m:r>
                              </m:e>
                              <m:sup>
                                <m:r>
                                  <a:rPr kumimoji="1" lang="en-US" altLang="ja-JP" sz="1600" b="0" i="1">
                                    <a:latin typeface="Cambria Math" panose="02040503050406030204" pitchFamily="18" charset="0"/>
                                  </a:rPr>
                                  <m:t>3</m:t>
                                </m:r>
                              </m:sup>
                            </m:sSup>
                          </m:num>
                          <m:den>
                            <m:r>
                              <a:rPr kumimoji="1" lang="en-US" altLang="ja-JP" sz="1600" b="0" i="1">
                                <a:latin typeface="Cambria Math" panose="02040503050406030204" pitchFamily="18" charset="0"/>
                              </a:rPr>
                              <m:t>27</m:t>
                            </m:r>
                          </m:den>
                        </m:f>
                      </m:e>
                    </m:rad>
                  </m:oMath>
                </m:oMathPara>
              </a14:m>
              <a:endParaRPr kumimoji="1" lang="ja-JP" altLang="en-US" sz="1600" i="1"/>
            </a:p>
          </xdr:txBody>
        </xdr:sp>
      </mc:Choice>
      <mc:Fallback xmlns="">
        <xdr:sp macro="" textlink="">
          <xdr:nvSpPr>
            <xdr:cNvPr id="27" name="テキスト ボックス 26">
              <a:extLst>
                <a:ext uri="{FF2B5EF4-FFF2-40B4-BE49-F238E27FC236}">
                  <a16:creationId xmlns:a16="http://schemas.microsoft.com/office/drawing/2014/main" id="{7FAF515F-9624-4587-8012-B8238AEA6648}"/>
                </a:ext>
              </a:extLst>
            </xdr:cNvPr>
            <xdr:cNvSpPr txBox="1"/>
          </xdr:nvSpPr>
          <xdr:spPr>
            <a:xfrm>
              <a:off x="18259425" y="12144375"/>
              <a:ext cx="1907894" cy="72750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𝑢^3=−𝑞/2</a:t>
              </a:r>
              <a:r>
                <a:rPr kumimoji="1" lang="en-US" altLang="ja-JP" sz="1600" b="0" i="0">
                  <a:latin typeface="Cambria Math" panose="02040503050406030204" pitchFamily="18" charset="0"/>
                  <a:ea typeface="Cambria Math" panose="02040503050406030204" pitchFamily="18" charset="0"/>
                </a:rPr>
                <a:t>+</a:t>
              </a:r>
              <a:r>
                <a:rPr kumimoji="1" lang="en-US" altLang="ja-JP" sz="1600" b="0" i="0">
                  <a:latin typeface="Cambria Math" panose="02040503050406030204" pitchFamily="18" charset="0"/>
                </a:rPr>
                <a:t>√(𝑞^2/4+𝑝^3/27)</a:t>
              </a:r>
              <a:endParaRPr kumimoji="1" lang="ja-JP" altLang="en-US" sz="1600" i="1"/>
            </a:p>
          </xdr:txBody>
        </xdr:sp>
      </mc:Fallback>
    </mc:AlternateContent>
    <xdr:clientData/>
  </xdr:oneCellAnchor>
  <xdr:oneCellAnchor>
    <xdr:from>
      <xdr:col>69</xdr:col>
      <xdr:colOff>251677</xdr:colOff>
      <xdr:row>51</xdr:row>
      <xdr:rowOff>0</xdr:rowOff>
    </xdr:from>
    <xdr:ext cx="1986698" cy="727507"/>
    <mc:AlternateContent xmlns:mc="http://schemas.openxmlformats.org/markup-compatibility/2006" xmlns:a14="http://schemas.microsoft.com/office/drawing/2010/main">
      <mc:Choice Requires="a14">
        <xdr:sp macro="" textlink="">
          <xdr:nvSpPr>
            <xdr:cNvPr id="28" name="テキスト ボックス 27">
              <a:extLst>
                <a:ext uri="{FF2B5EF4-FFF2-40B4-BE49-F238E27FC236}">
                  <a16:creationId xmlns:a16="http://schemas.microsoft.com/office/drawing/2014/main" id="{ABC8F10C-71A6-47E2-A21E-D66129A0E504}"/>
                </a:ext>
              </a:extLst>
            </xdr:cNvPr>
            <xdr:cNvSpPr txBox="1"/>
          </xdr:nvSpPr>
          <xdr:spPr>
            <a:xfrm>
              <a:off x="19539802" y="12144375"/>
              <a:ext cx="1986698" cy="72750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𝑣</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𝑞</m:t>
                        </m:r>
                      </m:num>
                      <m:den>
                        <m:r>
                          <a:rPr kumimoji="1" lang="en-US" altLang="ja-JP" sz="1600" b="0" i="1">
                            <a:latin typeface="Cambria Math" panose="02040503050406030204" pitchFamily="18" charset="0"/>
                          </a:rPr>
                          <m:t>2</m:t>
                        </m:r>
                      </m:den>
                    </m:f>
                    <m:r>
                      <a:rPr kumimoji="1" lang="en-US" altLang="ja-JP" sz="1600" b="0" i="1">
                        <a:latin typeface="Cambria Math" panose="02040503050406030204" pitchFamily="18" charset="0"/>
                        <a:ea typeface="Cambria Math" panose="02040503050406030204" pitchFamily="18" charset="0"/>
                      </a:rPr>
                      <m:t>−</m:t>
                    </m:r>
                    <m:rad>
                      <m:radPr>
                        <m:degHide m:val="on"/>
                        <m:ctrlPr>
                          <a:rPr kumimoji="1" lang="en-US" altLang="ja-JP" sz="1600" b="0" i="1">
                            <a:latin typeface="Cambria Math" panose="02040503050406030204" pitchFamily="18" charset="0"/>
                          </a:rPr>
                        </m:ctrlPr>
                      </m:radPr>
                      <m:deg/>
                      <m:e>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𝑞</m:t>
                                </m:r>
                              </m:e>
                              <m:sup>
                                <m:r>
                                  <a:rPr kumimoji="1" lang="en-US" altLang="ja-JP" sz="1600" b="0" i="1">
                                    <a:latin typeface="Cambria Math" panose="02040503050406030204" pitchFamily="18" charset="0"/>
                                  </a:rPr>
                                  <m:t>2</m:t>
                                </m:r>
                              </m:sup>
                            </m:sSup>
                          </m:num>
                          <m:den>
                            <m:r>
                              <a:rPr kumimoji="1" lang="en-US" altLang="ja-JP" sz="1600" b="0" i="1">
                                <a:latin typeface="Cambria Math" panose="02040503050406030204" pitchFamily="18" charset="0"/>
                              </a:rPr>
                              <m:t>4</m:t>
                            </m:r>
                          </m:den>
                        </m:f>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𝑝</m:t>
                                </m:r>
                              </m:e>
                              <m:sup>
                                <m:r>
                                  <a:rPr kumimoji="1" lang="en-US" altLang="ja-JP" sz="1600" b="0" i="1">
                                    <a:latin typeface="Cambria Math" panose="02040503050406030204" pitchFamily="18" charset="0"/>
                                  </a:rPr>
                                  <m:t>3</m:t>
                                </m:r>
                              </m:sup>
                            </m:sSup>
                          </m:num>
                          <m:den>
                            <m:r>
                              <a:rPr kumimoji="1" lang="en-US" altLang="ja-JP" sz="1600" b="0" i="1">
                                <a:latin typeface="Cambria Math" panose="02040503050406030204" pitchFamily="18" charset="0"/>
                              </a:rPr>
                              <m:t>27</m:t>
                            </m:r>
                          </m:den>
                        </m:f>
                      </m:e>
                    </m:rad>
                  </m:oMath>
                </m:oMathPara>
              </a14:m>
              <a:endParaRPr kumimoji="1" lang="ja-JP" altLang="en-US" sz="1600" i="1"/>
            </a:p>
          </xdr:txBody>
        </xdr:sp>
      </mc:Choice>
      <mc:Fallback xmlns="">
        <xdr:sp macro="" textlink="">
          <xdr:nvSpPr>
            <xdr:cNvPr id="28" name="テキスト ボックス 27">
              <a:extLst>
                <a:ext uri="{FF2B5EF4-FFF2-40B4-BE49-F238E27FC236}">
                  <a16:creationId xmlns:a16="http://schemas.microsoft.com/office/drawing/2014/main" id="{ABC8F10C-71A6-47E2-A21E-D66129A0E504}"/>
                </a:ext>
              </a:extLst>
            </xdr:cNvPr>
            <xdr:cNvSpPr txBox="1"/>
          </xdr:nvSpPr>
          <xdr:spPr>
            <a:xfrm>
              <a:off x="19539802" y="12144375"/>
              <a:ext cx="1986698" cy="72750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𝑣^3=−𝑞/2</a:t>
              </a:r>
              <a:r>
                <a:rPr kumimoji="1" lang="en-US" altLang="ja-JP" sz="1600" b="0" i="0">
                  <a:latin typeface="Cambria Math" panose="02040503050406030204" pitchFamily="18" charset="0"/>
                  <a:ea typeface="Cambria Math" panose="02040503050406030204" pitchFamily="18" charset="0"/>
                </a:rPr>
                <a:t>−</a:t>
              </a:r>
              <a:r>
                <a:rPr kumimoji="1" lang="en-US" altLang="ja-JP" sz="1600" b="0" i="0">
                  <a:latin typeface="Cambria Math" panose="02040503050406030204" pitchFamily="18" charset="0"/>
                </a:rPr>
                <a:t>√(𝑞^2/4+𝑝^3/27)</a:t>
              </a:r>
              <a:endParaRPr kumimoji="1" lang="ja-JP" altLang="en-US" sz="1600" i="1"/>
            </a:p>
          </xdr:txBody>
        </xdr:sp>
      </mc:Fallback>
    </mc:AlternateContent>
    <xdr:clientData/>
  </xdr:oneCellAnchor>
  <xdr:oneCellAnchor>
    <xdr:from>
      <xdr:col>65</xdr:col>
      <xdr:colOff>0</xdr:colOff>
      <xdr:row>54</xdr:row>
      <xdr:rowOff>0</xdr:rowOff>
    </xdr:from>
    <xdr:ext cx="839909" cy="420115"/>
    <mc:AlternateContent xmlns:mc="http://schemas.openxmlformats.org/markup-compatibility/2006" xmlns:a14="http://schemas.microsoft.com/office/drawing/2010/main">
      <mc:Choice Requires="a14">
        <xdr:sp macro="" textlink="">
          <xdr:nvSpPr>
            <xdr:cNvPr id="29" name="テキスト ボックス 28">
              <a:extLst>
                <a:ext uri="{FF2B5EF4-FFF2-40B4-BE49-F238E27FC236}">
                  <a16:creationId xmlns:a16="http://schemas.microsoft.com/office/drawing/2014/main" id="{928F8E77-2FE7-4B97-864A-E1689AFA531D}"/>
                </a:ext>
              </a:extLst>
            </xdr:cNvPr>
            <xdr:cNvSpPr txBox="1"/>
          </xdr:nvSpPr>
          <xdr:spPr>
            <a:xfrm>
              <a:off x="18259425" y="12858750"/>
              <a:ext cx="839909" cy="42011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𝐾</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𝑞</m:t>
                        </m:r>
                      </m:num>
                      <m:den>
                        <m:r>
                          <a:rPr kumimoji="1" lang="en-US" altLang="ja-JP" sz="1600" b="0" i="1">
                            <a:latin typeface="Cambria Math" panose="02040503050406030204" pitchFamily="18" charset="0"/>
                          </a:rPr>
                          <m:t>2</m:t>
                        </m:r>
                      </m:den>
                    </m:f>
                  </m:oMath>
                </m:oMathPara>
              </a14:m>
              <a:endParaRPr kumimoji="1" lang="ja-JP" altLang="en-US" sz="1600" i="1"/>
            </a:p>
          </xdr:txBody>
        </xdr:sp>
      </mc:Choice>
      <mc:Fallback xmlns="">
        <xdr:sp macro="" textlink="">
          <xdr:nvSpPr>
            <xdr:cNvPr id="29" name="テキスト ボックス 28">
              <a:extLst>
                <a:ext uri="{FF2B5EF4-FFF2-40B4-BE49-F238E27FC236}">
                  <a16:creationId xmlns:a16="http://schemas.microsoft.com/office/drawing/2014/main" id="{928F8E77-2FE7-4B97-864A-E1689AFA531D}"/>
                </a:ext>
              </a:extLst>
            </xdr:cNvPr>
            <xdr:cNvSpPr txBox="1"/>
          </xdr:nvSpPr>
          <xdr:spPr>
            <a:xfrm>
              <a:off x="18259425" y="12858750"/>
              <a:ext cx="839909" cy="42011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𝐾_0=−𝑞/2</a:t>
              </a:r>
              <a:endParaRPr kumimoji="1" lang="ja-JP" altLang="en-US" sz="1600" i="1"/>
            </a:p>
          </xdr:txBody>
        </xdr:sp>
      </mc:Fallback>
    </mc:AlternateContent>
    <xdr:clientData/>
  </xdr:oneCellAnchor>
  <xdr:oneCellAnchor>
    <xdr:from>
      <xdr:col>65</xdr:col>
      <xdr:colOff>0</xdr:colOff>
      <xdr:row>56</xdr:row>
      <xdr:rowOff>21138</xdr:rowOff>
    </xdr:from>
    <xdr:ext cx="1214627" cy="493212"/>
    <mc:AlternateContent xmlns:mc="http://schemas.openxmlformats.org/markup-compatibility/2006" xmlns:a14="http://schemas.microsoft.com/office/drawing/2010/main">
      <mc:Choice Requires="a14">
        <xdr:sp macro="" textlink="">
          <xdr:nvSpPr>
            <xdr:cNvPr id="30" name="テキスト ボックス 29">
              <a:extLst>
                <a:ext uri="{FF2B5EF4-FFF2-40B4-BE49-F238E27FC236}">
                  <a16:creationId xmlns:a16="http://schemas.microsoft.com/office/drawing/2014/main" id="{1B539D27-1B5C-477B-A474-871B84CCA255}"/>
                </a:ext>
              </a:extLst>
            </xdr:cNvPr>
            <xdr:cNvSpPr txBox="1"/>
          </xdr:nvSpPr>
          <xdr:spPr>
            <a:xfrm>
              <a:off x="18259425" y="13356138"/>
              <a:ext cx="1214627" cy="49321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𝐾</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𝑞</m:t>
                            </m:r>
                          </m:e>
                          <m:sup>
                            <m:r>
                              <a:rPr kumimoji="1" lang="en-US" altLang="ja-JP" sz="1600" b="0" i="1">
                                <a:latin typeface="Cambria Math" panose="02040503050406030204" pitchFamily="18" charset="0"/>
                              </a:rPr>
                              <m:t>2</m:t>
                            </m:r>
                          </m:sup>
                        </m:sSup>
                      </m:num>
                      <m:den>
                        <m:r>
                          <a:rPr kumimoji="1" lang="en-US" altLang="ja-JP" sz="1600" b="0" i="1">
                            <a:latin typeface="Cambria Math" panose="02040503050406030204" pitchFamily="18" charset="0"/>
                          </a:rPr>
                          <m:t>4</m:t>
                        </m:r>
                      </m:den>
                    </m:f>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𝑞</m:t>
                            </m:r>
                          </m:e>
                          <m:sup>
                            <m:r>
                              <a:rPr kumimoji="1" lang="en-US" altLang="ja-JP" sz="1600" b="0" i="1">
                                <a:latin typeface="Cambria Math" panose="02040503050406030204" pitchFamily="18" charset="0"/>
                              </a:rPr>
                              <m:t>3</m:t>
                            </m:r>
                          </m:sup>
                        </m:sSup>
                      </m:num>
                      <m:den>
                        <m:r>
                          <a:rPr kumimoji="1" lang="en-US" altLang="ja-JP" sz="1600" b="0" i="1">
                            <a:latin typeface="Cambria Math" panose="02040503050406030204" pitchFamily="18" charset="0"/>
                          </a:rPr>
                          <m:t>27</m:t>
                        </m:r>
                      </m:den>
                    </m:f>
                  </m:oMath>
                </m:oMathPara>
              </a14:m>
              <a:endParaRPr kumimoji="1" lang="ja-JP" altLang="en-US" sz="1600" i="1"/>
            </a:p>
          </xdr:txBody>
        </xdr:sp>
      </mc:Choice>
      <mc:Fallback xmlns="">
        <xdr:sp macro="" textlink="">
          <xdr:nvSpPr>
            <xdr:cNvPr id="30" name="テキスト ボックス 29">
              <a:extLst>
                <a:ext uri="{FF2B5EF4-FFF2-40B4-BE49-F238E27FC236}">
                  <a16:creationId xmlns:a16="http://schemas.microsoft.com/office/drawing/2014/main" id="{1B539D27-1B5C-477B-A474-871B84CCA255}"/>
                </a:ext>
              </a:extLst>
            </xdr:cNvPr>
            <xdr:cNvSpPr txBox="1"/>
          </xdr:nvSpPr>
          <xdr:spPr>
            <a:xfrm>
              <a:off x="18259425" y="13356138"/>
              <a:ext cx="1214627" cy="49321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𝐾_1=𝑞^2/4+𝑞^3/27</a:t>
              </a:r>
              <a:endParaRPr kumimoji="1" lang="ja-JP" altLang="en-US" sz="1600" i="1"/>
            </a:p>
          </xdr:txBody>
        </xdr:sp>
      </mc:Fallback>
    </mc:AlternateContent>
    <xdr:clientData/>
  </xdr:oneCellAnchor>
  <xdr:oneCellAnchor>
    <xdr:from>
      <xdr:col>65</xdr:col>
      <xdr:colOff>0</xdr:colOff>
      <xdr:row>104</xdr:row>
      <xdr:rowOff>0</xdr:rowOff>
    </xdr:from>
    <xdr:ext cx="3009414" cy="553228"/>
    <mc:AlternateContent xmlns:mc="http://schemas.openxmlformats.org/markup-compatibility/2006" xmlns:a14="http://schemas.microsoft.com/office/drawing/2010/main">
      <mc:Choice Requires="a14">
        <xdr:sp macro="" textlink="">
          <xdr:nvSpPr>
            <xdr:cNvPr id="31" name="テキスト ボックス 30">
              <a:extLst>
                <a:ext uri="{FF2B5EF4-FFF2-40B4-BE49-F238E27FC236}">
                  <a16:creationId xmlns:a16="http://schemas.microsoft.com/office/drawing/2014/main" id="{08A62EB9-8A95-418E-881C-FFD4543AE428}"/>
                </a:ext>
              </a:extLst>
            </xdr:cNvPr>
            <xdr:cNvSpPr txBox="1"/>
          </xdr:nvSpPr>
          <xdr:spPr>
            <a:xfrm>
              <a:off x="18259425" y="24765000"/>
              <a:ext cx="3009414" cy="5532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𝑋</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𝑢</m:t>
                    </m:r>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𝜔</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𝑣</m:t>
                    </m:r>
                    <m:r>
                      <a:rPr kumimoji="1" lang="ja-JP" altLang="en-US" sz="1600" b="0" i="1">
                        <a:latin typeface="Cambria Math" panose="02040503050406030204" pitchFamily="18" charset="0"/>
                      </a:rPr>
                      <m:t>𝜔</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𝐾</m:t>
                    </m:r>
                    <m:func>
                      <m:funcPr>
                        <m:ctrlPr>
                          <a:rPr kumimoji="1" lang="en-US" altLang="ja-JP" sz="1600" b="0" i="1">
                            <a:latin typeface="Cambria Math" panose="02040503050406030204" pitchFamily="18" charset="0"/>
                          </a:rPr>
                        </m:ctrlPr>
                      </m:funcPr>
                      <m:fName>
                        <m:r>
                          <m:rPr>
                            <m:sty m:val="p"/>
                          </m:rPr>
                          <a:rPr kumimoji="1" lang="en-US" altLang="ja-JP" sz="1600" b="0" i="0">
                            <a:latin typeface="Cambria Math" panose="02040503050406030204" pitchFamily="18" charset="0"/>
                          </a:rPr>
                          <m:t>cos</m:t>
                        </m:r>
                      </m:fName>
                      <m:e>
                        <m:d>
                          <m:dPr>
                            <m:ctrlPr>
                              <a:rPr kumimoji="1" lang="en-US" altLang="ja-JP" sz="1600" b="0" i="1">
                                <a:latin typeface="Cambria Math" panose="02040503050406030204" pitchFamily="18" charset="0"/>
                              </a:rPr>
                            </m:ctrlPr>
                          </m:dPr>
                          <m:e>
                            <m:r>
                              <a:rPr kumimoji="1" lang="ja-JP" altLang="en-US" sz="1600" b="0" i="1">
                                <a:latin typeface="Cambria Math" panose="02040503050406030204" pitchFamily="18" charset="0"/>
                              </a:rPr>
                              <m:t>𝜃</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2</m:t>
                                </m:r>
                                <m:r>
                                  <a:rPr kumimoji="1" lang="ja-JP" altLang="en-US" sz="1600" b="0" i="1">
                                    <a:latin typeface="Cambria Math" panose="02040503050406030204" pitchFamily="18" charset="0"/>
                                  </a:rPr>
                                  <m:t>𝜋</m:t>
                                </m:r>
                              </m:num>
                              <m:den>
                                <m:r>
                                  <a:rPr kumimoji="1" lang="en-US" altLang="ja-JP" sz="1600" b="0" i="1">
                                    <a:latin typeface="Cambria Math" panose="02040503050406030204" pitchFamily="18" charset="0"/>
                                  </a:rPr>
                                  <m:t>3</m:t>
                                </m:r>
                              </m:den>
                            </m:f>
                          </m:e>
                        </m:d>
                      </m:e>
                    </m:func>
                  </m:oMath>
                </m:oMathPara>
              </a14:m>
              <a:endParaRPr kumimoji="1" lang="ja-JP" altLang="en-US" sz="1600" i="1"/>
            </a:p>
          </xdr:txBody>
        </xdr:sp>
      </mc:Choice>
      <mc:Fallback xmlns="">
        <xdr:sp macro="" textlink="">
          <xdr:nvSpPr>
            <xdr:cNvPr id="31" name="テキスト ボックス 30">
              <a:extLst>
                <a:ext uri="{FF2B5EF4-FFF2-40B4-BE49-F238E27FC236}">
                  <a16:creationId xmlns:a16="http://schemas.microsoft.com/office/drawing/2014/main" id="{08A62EB9-8A95-418E-881C-FFD4543AE428}"/>
                </a:ext>
              </a:extLst>
            </xdr:cNvPr>
            <xdr:cNvSpPr txBox="1"/>
          </xdr:nvSpPr>
          <xdr:spPr>
            <a:xfrm>
              <a:off x="18259425" y="24765000"/>
              <a:ext cx="3009414" cy="5532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𝑋_2=𝑢</a:t>
              </a:r>
              <a:r>
                <a:rPr kumimoji="1" lang="ja-JP" altLang="en-US" sz="1600" b="0" i="0">
                  <a:latin typeface="Cambria Math" panose="02040503050406030204" pitchFamily="18" charset="0"/>
                </a:rPr>
                <a:t>𝜔</a:t>
              </a:r>
              <a:r>
                <a:rPr kumimoji="1" lang="en-US" altLang="ja-JP" sz="1600" b="0" i="0">
                  <a:latin typeface="Cambria Math" panose="02040503050406030204" pitchFamily="18" charset="0"/>
                </a:rPr>
                <a:t>^2+𝑣</a:t>
              </a:r>
              <a:r>
                <a:rPr kumimoji="1" lang="ja-JP" altLang="en-US" sz="1600" b="0" i="0">
                  <a:latin typeface="Cambria Math" panose="02040503050406030204" pitchFamily="18" charset="0"/>
                </a:rPr>
                <a:t>𝜔</a:t>
              </a:r>
              <a:r>
                <a:rPr kumimoji="1" lang="en-US" altLang="ja-JP" sz="1600" b="0" i="0">
                  <a:latin typeface="Cambria Math" panose="02040503050406030204" pitchFamily="18" charset="0"/>
                </a:rPr>
                <a:t>=𝐾 cos⁡(</a:t>
              </a:r>
              <a:r>
                <a:rPr kumimoji="1" lang="ja-JP" altLang="en-US" sz="1600" b="0" i="0">
                  <a:latin typeface="Cambria Math" panose="02040503050406030204" pitchFamily="18" charset="0"/>
                </a:rPr>
                <a:t>𝜃</a:t>
              </a:r>
              <a:r>
                <a:rPr kumimoji="1" lang="en-US" altLang="ja-JP" sz="1600" b="0" i="0">
                  <a:latin typeface="Cambria Math" panose="02040503050406030204" pitchFamily="18" charset="0"/>
                </a:rPr>
                <a:t>+2</a:t>
              </a:r>
              <a:r>
                <a:rPr kumimoji="1" lang="ja-JP" altLang="en-US" sz="1600" b="0" i="0">
                  <a:latin typeface="Cambria Math" panose="02040503050406030204" pitchFamily="18" charset="0"/>
                </a:rPr>
                <a:t>𝜋</a:t>
              </a:r>
              <a:r>
                <a:rPr kumimoji="1" lang="en-US" altLang="ja-JP" sz="1600" b="0" i="0">
                  <a:latin typeface="Cambria Math" panose="02040503050406030204" pitchFamily="18" charset="0"/>
                </a:rPr>
                <a:t>/3)</a:t>
              </a:r>
              <a:endParaRPr kumimoji="1" lang="ja-JP" altLang="en-US" sz="1600" i="1"/>
            </a:p>
          </xdr:txBody>
        </xdr:sp>
      </mc:Fallback>
    </mc:AlternateContent>
    <xdr:clientData/>
  </xdr:oneCellAnchor>
  <xdr:oneCellAnchor>
    <xdr:from>
      <xdr:col>65</xdr:col>
      <xdr:colOff>0</xdr:colOff>
      <xdr:row>64</xdr:row>
      <xdr:rowOff>0</xdr:rowOff>
    </xdr:from>
    <xdr:ext cx="1298432" cy="516423"/>
    <mc:AlternateContent xmlns:mc="http://schemas.openxmlformats.org/markup-compatibility/2006" xmlns:a14="http://schemas.microsoft.com/office/drawing/2010/main">
      <mc:Choice Requires="a14">
        <xdr:sp macro="" textlink="">
          <xdr:nvSpPr>
            <xdr:cNvPr id="32" name="テキスト ボックス 31">
              <a:extLst>
                <a:ext uri="{FF2B5EF4-FFF2-40B4-BE49-F238E27FC236}">
                  <a16:creationId xmlns:a16="http://schemas.microsoft.com/office/drawing/2014/main" id="{9537966D-C6AB-4436-841A-D754FEE7DD7B}"/>
                </a:ext>
              </a:extLst>
            </xdr:cNvPr>
            <xdr:cNvSpPr txBox="1"/>
          </xdr:nvSpPr>
          <xdr:spPr>
            <a:xfrm>
              <a:off x="18259425" y="15240000"/>
              <a:ext cx="1298432" cy="51642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ja-JP" altLang="en-US" sz="1600" b="0" i="1">
                        <a:latin typeface="Cambria Math" panose="02040503050406030204" pitchFamily="18" charset="0"/>
                      </a:rPr>
                      <m:t>𝜔</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−1+</m:t>
                        </m:r>
                        <m:rad>
                          <m:radPr>
                            <m:degHide m:val="on"/>
                            <m:ctrlPr>
                              <a:rPr kumimoji="1" lang="en-US" altLang="ja-JP" sz="1600" b="0" i="1">
                                <a:latin typeface="Cambria Math" panose="02040503050406030204" pitchFamily="18" charset="0"/>
                              </a:rPr>
                            </m:ctrlPr>
                          </m:radPr>
                          <m:deg/>
                          <m:e>
                            <m:r>
                              <a:rPr kumimoji="1" lang="en-US" altLang="ja-JP" sz="1600" b="0" i="1">
                                <a:latin typeface="Cambria Math" panose="02040503050406030204" pitchFamily="18" charset="0"/>
                              </a:rPr>
                              <m:t>3</m:t>
                            </m:r>
                          </m:e>
                        </m:rad>
                        <m:r>
                          <a:rPr kumimoji="1" lang="en-US" altLang="ja-JP" sz="1600" b="0" i="1">
                            <a:latin typeface="Cambria Math" panose="02040503050406030204" pitchFamily="18" charset="0"/>
                          </a:rPr>
                          <m:t>𝑖</m:t>
                        </m:r>
                      </m:num>
                      <m:den>
                        <m:r>
                          <a:rPr kumimoji="1" lang="en-US" altLang="ja-JP" sz="1600" b="0" i="1">
                            <a:latin typeface="Cambria Math" panose="02040503050406030204" pitchFamily="18" charset="0"/>
                          </a:rPr>
                          <m:t>2</m:t>
                        </m:r>
                      </m:den>
                    </m:f>
                  </m:oMath>
                </m:oMathPara>
              </a14:m>
              <a:endParaRPr kumimoji="1" lang="ja-JP" altLang="en-US" sz="1600" i="1"/>
            </a:p>
          </xdr:txBody>
        </xdr:sp>
      </mc:Choice>
      <mc:Fallback xmlns="">
        <xdr:sp macro="" textlink="">
          <xdr:nvSpPr>
            <xdr:cNvPr id="32" name="テキスト ボックス 31">
              <a:extLst>
                <a:ext uri="{FF2B5EF4-FFF2-40B4-BE49-F238E27FC236}">
                  <a16:creationId xmlns:a16="http://schemas.microsoft.com/office/drawing/2014/main" id="{9537966D-C6AB-4436-841A-D754FEE7DD7B}"/>
                </a:ext>
              </a:extLst>
            </xdr:cNvPr>
            <xdr:cNvSpPr txBox="1"/>
          </xdr:nvSpPr>
          <xdr:spPr>
            <a:xfrm>
              <a:off x="18259425" y="15240000"/>
              <a:ext cx="1298432" cy="51642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ja-JP" altLang="en-US" sz="1600" b="0" i="0">
                  <a:latin typeface="Cambria Math" panose="02040503050406030204" pitchFamily="18" charset="0"/>
                </a:rPr>
                <a:t>𝜔</a:t>
              </a:r>
              <a:r>
                <a:rPr kumimoji="1" lang="en-US" altLang="ja-JP" sz="1600" b="0" i="0">
                  <a:latin typeface="Cambria Math" panose="02040503050406030204" pitchFamily="18" charset="0"/>
                </a:rPr>
                <a:t>=(−1+√3 𝑖)/2</a:t>
              </a:r>
              <a:endParaRPr kumimoji="1" lang="ja-JP" altLang="en-US" sz="1600" i="1"/>
            </a:p>
          </xdr:txBody>
        </xdr:sp>
      </mc:Fallback>
    </mc:AlternateContent>
    <xdr:clientData/>
  </xdr:oneCellAnchor>
  <xdr:oneCellAnchor>
    <xdr:from>
      <xdr:col>68</xdr:col>
      <xdr:colOff>835200</xdr:colOff>
      <xdr:row>63</xdr:row>
      <xdr:rowOff>255102</xdr:rowOff>
    </xdr:from>
    <xdr:ext cx="1393650" cy="516423"/>
    <mc:AlternateContent xmlns:mc="http://schemas.openxmlformats.org/markup-compatibility/2006" xmlns:a14="http://schemas.microsoft.com/office/drawing/2010/main">
      <mc:Choice Requires="a14">
        <xdr:sp macro="" textlink="">
          <xdr:nvSpPr>
            <xdr:cNvPr id="33" name="テキスト ボックス 32">
              <a:extLst>
                <a:ext uri="{FF2B5EF4-FFF2-40B4-BE49-F238E27FC236}">
                  <a16:creationId xmlns:a16="http://schemas.microsoft.com/office/drawing/2014/main" id="{E7746B8C-46F9-4F36-A39A-272B0634C2D3}"/>
                </a:ext>
              </a:extLst>
            </xdr:cNvPr>
            <xdr:cNvSpPr txBox="1"/>
          </xdr:nvSpPr>
          <xdr:spPr>
            <a:xfrm>
              <a:off x="19285125" y="15237927"/>
              <a:ext cx="1393650" cy="51642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𝜔</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−1−</m:t>
                        </m:r>
                        <m:rad>
                          <m:radPr>
                            <m:degHide m:val="on"/>
                            <m:ctrlPr>
                              <a:rPr kumimoji="1" lang="en-US" altLang="ja-JP" sz="1600" b="0" i="1">
                                <a:latin typeface="Cambria Math" panose="02040503050406030204" pitchFamily="18" charset="0"/>
                              </a:rPr>
                            </m:ctrlPr>
                          </m:radPr>
                          <m:deg/>
                          <m:e>
                            <m:r>
                              <a:rPr kumimoji="1" lang="en-US" altLang="ja-JP" sz="1600" b="0" i="1">
                                <a:latin typeface="Cambria Math" panose="02040503050406030204" pitchFamily="18" charset="0"/>
                              </a:rPr>
                              <m:t>3</m:t>
                            </m:r>
                          </m:e>
                        </m:rad>
                        <m:r>
                          <a:rPr kumimoji="1" lang="en-US" altLang="ja-JP" sz="1600" b="0" i="1">
                            <a:latin typeface="Cambria Math" panose="02040503050406030204" pitchFamily="18" charset="0"/>
                          </a:rPr>
                          <m:t>𝑖</m:t>
                        </m:r>
                      </m:num>
                      <m:den>
                        <m:r>
                          <a:rPr kumimoji="1" lang="en-US" altLang="ja-JP" sz="1600" b="0" i="1">
                            <a:latin typeface="Cambria Math" panose="02040503050406030204" pitchFamily="18" charset="0"/>
                          </a:rPr>
                          <m:t>2</m:t>
                        </m:r>
                      </m:den>
                    </m:f>
                  </m:oMath>
                </m:oMathPara>
              </a14:m>
              <a:endParaRPr kumimoji="1" lang="ja-JP" altLang="en-US" sz="1600" i="1"/>
            </a:p>
          </xdr:txBody>
        </xdr:sp>
      </mc:Choice>
      <mc:Fallback xmlns="">
        <xdr:sp macro="" textlink="">
          <xdr:nvSpPr>
            <xdr:cNvPr id="33" name="テキスト ボックス 32">
              <a:extLst>
                <a:ext uri="{FF2B5EF4-FFF2-40B4-BE49-F238E27FC236}">
                  <a16:creationId xmlns:a16="http://schemas.microsoft.com/office/drawing/2014/main" id="{E7746B8C-46F9-4F36-A39A-272B0634C2D3}"/>
                </a:ext>
              </a:extLst>
            </xdr:cNvPr>
            <xdr:cNvSpPr txBox="1"/>
          </xdr:nvSpPr>
          <xdr:spPr>
            <a:xfrm>
              <a:off x="19285125" y="15237927"/>
              <a:ext cx="1393650" cy="51642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ja-JP" altLang="en-US" sz="1600" b="0" i="0">
                  <a:latin typeface="Cambria Math" panose="02040503050406030204" pitchFamily="18" charset="0"/>
                </a:rPr>
                <a:t>𝜔</a:t>
              </a:r>
              <a:r>
                <a:rPr kumimoji="1" lang="en-US" altLang="ja-JP" sz="1600" b="0" i="0">
                  <a:latin typeface="Cambria Math" panose="02040503050406030204" pitchFamily="18" charset="0"/>
                </a:rPr>
                <a:t>^2=(−1−√3 𝑖)/2</a:t>
              </a:r>
              <a:endParaRPr kumimoji="1" lang="ja-JP" altLang="en-US" sz="1600" i="1"/>
            </a:p>
          </xdr:txBody>
        </xdr:sp>
      </mc:Fallback>
    </mc:AlternateContent>
    <xdr:clientData/>
  </xdr:oneCellAnchor>
  <xdr:oneCellAnchor>
    <xdr:from>
      <xdr:col>71</xdr:col>
      <xdr:colOff>873183</xdr:colOff>
      <xdr:row>64</xdr:row>
      <xdr:rowOff>0</xdr:rowOff>
    </xdr:from>
    <xdr:ext cx="1431867" cy="255006"/>
    <mc:AlternateContent xmlns:mc="http://schemas.openxmlformats.org/markup-compatibility/2006" xmlns:a14="http://schemas.microsoft.com/office/drawing/2010/main">
      <mc:Choice Requires="a14">
        <xdr:sp macro="" textlink="">
          <xdr:nvSpPr>
            <xdr:cNvPr id="34" name="テキスト ボックス 33">
              <a:extLst>
                <a:ext uri="{FF2B5EF4-FFF2-40B4-BE49-F238E27FC236}">
                  <a16:creationId xmlns:a16="http://schemas.microsoft.com/office/drawing/2014/main" id="{6EDBE861-0C0C-4AAD-A6B2-63F27A69FD28}"/>
                </a:ext>
              </a:extLst>
            </xdr:cNvPr>
            <xdr:cNvSpPr txBox="1"/>
          </xdr:nvSpPr>
          <xdr:spPr>
            <a:xfrm>
              <a:off x="20056533" y="15240000"/>
              <a:ext cx="1431867"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𝜔</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r>
                      <a:rPr kumimoji="1" lang="ja-JP" altLang="en-US" sz="1600" b="0" i="1">
                        <a:latin typeface="Cambria Math" panose="02040503050406030204" pitchFamily="18" charset="0"/>
                      </a:rPr>
                      <m:t>𝜔</m:t>
                    </m:r>
                    <m:r>
                      <a:rPr kumimoji="1" lang="en-US" altLang="ja-JP" sz="1600" b="0" i="1">
                        <a:latin typeface="Cambria Math" panose="02040503050406030204" pitchFamily="18" charset="0"/>
                      </a:rPr>
                      <m:t>+1=0</m:t>
                    </m:r>
                  </m:oMath>
                </m:oMathPara>
              </a14:m>
              <a:endParaRPr kumimoji="1" lang="ja-JP" altLang="en-US" sz="1600" i="1"/>
            </a:p>
          </xdr:txBody>
        </xdr:sp>
      </mc:Choice>
      <mc:Fallback xmlns="">
        <xdr:sp macro="" textlink="">
          <xdr:nvSpPr>
            <xdr:cNvPr id="34" name="テキスト ボックス 33">
              <a:extLst>
                <a:ext uri="{FF2B5EF4-FFF2-40B4-BE49-F238E27FC236}">
                  <a16:creationId xmlns:a16="http://schemas.microsoft.com/office/drawing/2014/main" id="{6EDBE861-0C0C-4AAD-A6B2-63F27A69FD28}"/>
                </a:ext>
              </a:extLst>
            </xdr:cNvPr>
            <xdr:cNvSpPr txBox="1"/>
          </xdr:nvSpPr>
          <xdr:spPr>
            <a:xfrm>
              <a:off x="20056533" y="15240000"/>
              <a:ext cx="1431867"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ja-JP" altLang="en-US" sz="1600" b="0" i="0">
                  <a:latin typeface="Cambria Math" panose="02040503050406030204" pitchFamily="18" charset="0"/>
                </a:rPr>
                <a:t>𝜔</a:t>
              </a:r>
              <a:r>
                <a:rPr kumimoji="1" lang="en-US" altLang="ja-JP" sz="1600" b="0" i="0">
                  <a:latin typeface="Cambria Math" panose="02040503050406030204" pitchFamily="18" charset="0"/>
                </a:rPr>
                <a:t>^2+</a:t>
              </a:r>
              <a:r>
                <a:rPr kumimoji="1" lang="ja-JP" altLang="en-US" sz="1600" b="0" i="0">
                  <a:latin typeface="Cambria Math" panose="02040503050406030204" pitchFamily="18" charset="0"/>
                </a:rPr>
                <a:t>𝜔</a:t>
              </a:r>
              <a:r>
                <a:rPr kumimoji="1" lang="en-US" altLang="ja-JP" sz="1600" b="0" i="0">
                  <a:latin typeface="Cambria Math" panose="02040503050406030204" pitchFamily="18" charset="0"/>
                </a:rPr>
                <a:t>+1=0</a:t>
              </a:r>
              <a:endParaRPr kumimoji="1" lang="ja-JP" altLang="en-US" sz="1600" i="1"/>
            </a:p>
          </xdr:txBody>
        </xdr:sp>
      </mc:Fallback>
    </mc:AlternateContent>
    <xdr:clientData/>
  </xdr:oneCellAnchor>
  <xdr:oneCellAnchor>
    <xdr:from>
      <xdr:col>65</xdr:col>
      <xdr:colOff>0</xdr:colOff>
      <xdr:row>121</xdr:row>
      <xdr:rowOff>6722</xdr:rowOff>
    </xdr:from>
    <xdr:ext cx="1101584" cy="462627"/>
    <mc:AlternateContent xmlns:mc="http://schemas.openxmlformats.org/markup-compatibility/2006" xmlns:a14="http://schemas.microsoft.com/office/drawing/2010/main">
      <mc:Choice Requires="a14">
        <xdr:sp macro="" textlink="">
          <xdr:nvSpPr>
            <xdr:cNvPr id="35" name="テキスト ボックス 34">
              <a:extLst>
                <a:ext uri="{FF2B5EF4-FFF2-40B4-BE49-F238E27FC236}">
                  <a16:creationId xmlns:a16="http://schemas.microsoft.com/office/drawing/2014/main" id="{591AA265-A961-4987-9E85-971DD6361B18}"/>
                </a:ext>
              </a:extLst>
            </xdr:cNvPr>
            <xdr:cNvSpPr txBox="1"/>
          </xdr:nvSpPr>
          <xdr:spPr>
            <a:xfrm>
              <a:off x="18259425" y="28819847"/>
              <a:ext cx="1101584" cy="46262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𝑥</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𝑋</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𝐴</m:t>
                        </m:r>
                      </m:num>
                      <m:den>
                        <m:r>
                          <a:rPr kumimoji="1" lang="en-US" altLang="ja-JP" sz="1600" b="0" i="1">
                            <a:latin typeface="Cambria Math" panose="02040503050406030204" pitchFamily="18" charset="0"/>
                          </a:rPr>
                          <m:t>3</m:t>
                        </m:r>
                      </m:den>
                    </m:f>
                  </m:oMath>
                </m:oMathPara>
              </a14:m>
              <a:endParaRPr kumimoji="1" lang="ja-JP" altLang="en-US" sz="1600" i="1"/>
            </a:p>
          </xdr:txBody>
        </xdr:sp>
      </mc:Choice>
      <mc:Fallback xmlns="">
        <xdr:sp macro="" textlink="">
          <xdr:nvSpPr>
            <xdr:cNvPr id="35" name="テキスト ボックス 34">
              <a:extLst>
                <a:ext uri="{FF2B5EF4-FFF2-40B4-BE49-F238E27FC236}">
                  <a16:creationId xmlns:a16="http://schemas.microsoft.com/office/drawing/2014/main" id="{591AA265-A961-4987-9E85-971DD6361B18}"/>
                </a:ext>
              </a:extLst>
            </xdr:cNvPr>
            <xdr:cNvSpPr txBox="1"/>
          </xdr:nvSpPr>
          <xdr:spPr>
            <a:xfrm>
              <a:off x="18259425" y="28819847"/>
              <a:ext cx="1101584" cy="46262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𝑥_1=𝑋_1−𝐴/3</a:t>
              </a:r>
              <a:endParaRPr kumimoji="1" lang="ja-JP" altLang="en-US" sz="1600" i="1"/>
            </a:p>
          </xdr:txBody>
        </xdr:sp>
      </mc:Fallback>
    </mc:AlternateContent>
    <xdr:clientData/>
  </xdr:oneCellAnchor>
  <xdr:oneCellAnchor>
    <xdr:from>
      <xdr:col>65</xdr:col>
      <xdr:colOff>0</xdr:colOff>
      <xdr:row>123</xdr:row>
      <xdr:rowOff>51723</xdr:rowOff>
    </xdr:from>
    <xdr:ext cx="1111073" cy="462627"/>
    <mc:AlternateContent xmlns:mc="http://schemas.openxmlformats.org/markup-compatibility/2006" xmlns:a14="http://schemas.microsoft.com/office/drawing/2010/main">
      <mc:Choice Requires="a14">
        <xdr:sp macro="" textlink="">
          <xdr:nvSpPr>
            <xdr:cNvPr id="36" name="テキスト ボックス 35">
              <a:extLst>
                <a:ext uri="{FF2B5EF4-FFF2-40B4-BE49-F238E27FC236}">
                  <a16:creationId xmlns:a16="http://schemas.microsoft.com/office/drawing/2014/main" id="{8D2614FE-7675-4A01-8E50-62D0AED85914}"/>
                </a:ext>
              </a:extLst>
            </xdr:cNvPr>
            <xdr:cNvSpPr txBox="1"/>
          </xdr:nvSpPr>
          <xdr:spPr>
            <a:xfrm>
              <a:off x="18259425" y="29341098"/>
              <a:ext cx="1111073" cy="46262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𝑥</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𝑋</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𝐴</m:t>
                        </m:r>
                      </m:num>
                      <m:den>
                        <m:r>
                          <a:rPr kumimoji="1" lang="en-US" altLang="ja-JP" sz="1600" b="0" i="1">
                            <a:latin typeface="Cambria Math" panose="02040503050406030204" pitchFamily="18" charset="0"/>
                          </a:rPr>
                          <m:t>3</m:t>
                        </m:r>
                      </m:den>
                    </m:f>
                  </m:oMath>
                </m:oMathPara>
              </a14:m>
              <a:endParaRPr kumimoji="1" lang="ja-JP" altLang="en-US" sz="1600" i="1"/>
            </a:p>
          </xdr:txBody>
        </xdr:sp>
      </mc:Choice>
      <mc:Fallback xmlns="">
        <xdr:sp macro="" textlink="">
          <xdr:nvSpPr>
            <xdr:cNvPr id="36" name="テキスト ボックス 35">
              <a:extLst>
                <a:ext uri="{FF2B5EF4-FFF2-40B4-BE49-F238E27FC236}">
                  <a16:creationId xmlns:a16="http://schemas.microsoft.com/office/drawing/2014/main" id="{8D2614FE-7675-4A01-8E50-62D0AED85914}"/>
                </a:ext>
              </a:extLst>
            </xdr:cNvPr>
            <xdr:cNvSpPr txBox="1"/>
          </xdr:nvSpPr>
          <xdr:spPr>
            <a:xfrm>
              <a:off x="18259425" y="29341098"/>
              <a:ext cx="1111073" cy="46262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𝑥_2=𝑋_2−𝐴/3</a:t>
              </a:r>
              <a:endParaRPr kumimoji="1" lang="ja-JP" altLang="en-US" sz="1600" i="1"/>
            </a:p>
          </xdr:txBody>
        </xdr:sp>
      </mc:Fallback>
    </mc:AlternateContent>
    <xdr:clientData/>
  </xdr:oneCellAnchor>
  <xdr:oneCellAnchor>
    <xdr:from>
      <xdr:col>65</xdr:col>
      <xdr:colOff>0</xdr:colOff>
      <xdr:row>125</xdr:row>
      <xdr:rowOff>51723</xdr:rowOff>
    </xdr:from>
    <xdr:ext cx="1111073" cy="462627"/>
    <mc:AlternateContent xmlns:mc="http://schemas.openxmlformats.org/markup-compatibility/2006" xmlns:a14="http://schemas.microsoft.com/office/drawing/2010/main">
      <mc:Choice Requires="a14">
        <xdr:sp macro="" textlink="">
          <xdr:nvSpPr>
            <xdr:cNvPr id="37" name="テキスト ボックス 36">
              <a:extLst>
                <a:ext uri="{FF2B5EF4-FFF2-40B4-BE49-F238E27FC236}">
                  <a16:creationId xmlns:a16="http://schemas.microsoft.com/office/drawing/2014/main" id="{DF03260E-223A-49D0-AB6E-603710E34DE3}"/>
                </a:ext>
              </a:extLst>
            </xdr:cNvPr>
            <xdr:cNvSpPr txBox="1"/>
          </xdr:nvSpPr>
          <xdr:spPr>
            <a:xfrm>
              <a:off x="18259425" y="29817348"/>
              <a:ext cx="1111073" cy="46262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𝑥</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𝑋</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𝐴</m:t>
                        </m:r>
                      </m:num>
                      <m:den>
                        <m:r>
                          <a:rPr kumimoji="1" lang="en-US" altLang="ja-JP" sz="1600" b="0" i="1">
                            <a:latin typeface="Cambria Math" panose="02040503050406030204" pitchFamily="18" charset="0"/>
                          </a:rPr>
                          <m:t>3</m:t>
                        </m:r>
                      </m:den>
                    </m:f>
                  </m:oMath>
                </m:oMathPara>
              </a14:m>
              <a:endParaRPr kumimoji="1" lang="ja-JP" altLang="en-US" sz="1600" i="1"/>
            </a:p>
          </xdr:txBody>
        </xdr:sp>
      </mc:Choice>
      <mc:Fallback xmlns="">
        <xdr:sp macro="" textlink="">
          <xdr:nvSpPr>
            <xdr:cNvPr id="37" name="テキスト ボックス 36">
              <a:extLst>
                <a:ext uri="{FF2B5EF4-FFF2-40B4-BE49-F238E27FC236}">
                  <a16:creationId xmlns:a16="http://schemas.microsoft.com/office/drawing/2014/main" id="{DF03260E-223A-49D0-AB6E-603710E34DE3}"/>
                </a:ext>
              </a:extLst>
            </xdr:cNvPr>
            <xdr:cNvSpPr txBox="1"/>
          </xdr:nvSpPr>
          <xdr:spPr>
            <a:xfrm>
              <a:off x="18259425" y="29817348"/>
              <a:ext cx="1111073" cy="46262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𝑥_3=𝑋_3−𝐴/3</a:t>
              </a:r>
              <a:endParaRPr kumimoji="1" lang="ja-JP" altLang="en-US" sz="1600" i="1"/>
            </a:p>
          </xdr:txBody>
        </xdr:sp>
      </mc:Fallback>
    </mc:AlternateContent>
    <xdr:clientData/>
  </xdr:oneCellAnchor>
  <xdr:oneCellAnchor>
    <xdr:from>
      <xdr:col>65</xdr:col>
      <xdr:colOff>0</xdr:colOff>
      <xdr:row>59</xdr:row>
      <xdr:rowOff>44018</xdr:rowOff>
    </xdr:from>
    <xdr:ext cx="1368067" cy="298159"/>
    <mc:AlternateContent xmlns:mc="http://schemas.openxmlformats.org/markup-compatibility/2006" xmlns:a14="http://schemas.microsoft.com/office/drawing/2010/main">
      <mc:Choice Requires="a14">
        <xdr:sp macro="" textlink="">
          <xdr:nvSpPr>
            <xdr:cNvPr id="38" name="テキスト ボックス 37">
              <a:extLst>
                <a:ext uri="{FF2B5EF4-FFF2-40B4-BE49-F238E27FC236}">
                  <a16:creationId xmlns:a16="http://schemas.microsoft.com/office/drawing/2014/main" id="{4F97A3D2-E56B-4CDE-9CC4-64B04E4F08F2}"/>
                </a:ext>
              </a:extLst>
            </xdr:cNvPr>
            <xdr:cNvSpPr txBox="1"/>
          </xdr:nvSpPr>
          <xdr:spPr>
            <a:xfrm>
              <a:off x="18259425" y="14093393"/>
              <a:ext cx="1368067" cy="29815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𝑢</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𝐾</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ea typeface="Cambria Math" panose="02040503050406030204" pitchFamily="18" charset="0"/>
                      </a:rPr>
                      <m:t>+</m:t>
                    </m:r>
                    <m:rad>
                      <m:radPr>
                        <m:degHide m:val="on"/>
                        <m:ctrlPr>
                          <a:rPr kumimoji="1" lang="en-US" altLang="ja-JP" sz="1600" b="0" i="1">
                            <a:latin typeface="Cambria Math" panose="02040503050406030204" pitchFamily="18" charset="0"/>
                            <a:ea typeface="Cambria Math" panose="02040503050406030204" pitchFamily="18" charset="0"/>
                          </a:rPr>
                        </m:ctrlPr>
                      </m:radPr>
                      <m:deg/>
                      <m:e>
                        <m:sSub>
                          <m:sSubPr>
                            <m:ctrlPr>
                              <a:rPr kumimoji="1" lang="en-US" altLang="ja-JP" sz="1600" b="0" i="1">
                                <a:latin typeface="Cambria Math" panose="02040503050406030204" pitchFamily="18" charset="0"/>
                                <a:ea typeface="Cambria Math" panose="02040503050406030204" pitchFamily="18" charset="0"/>
                              </a:rPr>
                            </m:ctrlPr>
                          </m:sSubPr>
                          <m:e>
                            <m:r>
                              <a:rPr kumimoji="1" lang="en-US" altLang="ja-JP" sz="1600" b="0" i="1">
                                <a:latin typeface="Cambria Math" panose="02040503050406030204" pitchFamily="18" charset="0"/>
                                <a:ea typeface="Cambria Math" panose="02040503050406030204" pitchFamily="18" charset="0"/>
                              </a:rPr>
                              <m:t>𝐾</m:t>
                            </m:r>
                          </m:e>
                          <m:sub>
                            <m:r>
                              <a:rPr kumimoji="1" lang="en-US" altLang="ja-JP" sz="1600" b="0" i="1">
                                <a:latin typeface="Cambria Math" panose="02040503050406030204" pitchFamily="18" charset="0"/>
                                <a:ea typeface="Cambria Math" panose="02040503050406030204" pitchFamily="18" charset="0"/>
                              </a:rPr>
                              <m:t>1</m:t>
                            </m:r>
                          </m:sub>
                        </m:sSub>
                      </m:e>
                    </m:rad>
                  </m:oMath>
                </m:oMathPara>
              </a14:m>
              <a:endParaRPr kumimoji="1" lang="ja-JP" altLang="en-US" sz="1600" i="1"/>
            </a:p>
          </xdr:txBody>
        </xdr:sp>
      </mc:Choice>
      <mc:Fallback xmlns="">
        <xdr:sp macro="" textlink="">
          <xdr:nvSpPr>
            <xdr:cNvPr id="38" name="テキスト ボックス 37">
              <a:extLst>
                <a:ext uri="{FF2B5EF4-FFF2-40B4-BE49-F238E27FC236}">
                  <a16:creationId xmlns:a16="http://schemas.microsoft.com/office/drawing/2014/main" id="{4F97A3D2-E56B-4CDE-9CC4-64B04E4F08F2}"/>
                </a:ext>
              </a:extLst>
            </xdr:cNvPr>
            <xdr:cNvSpPr txBox="1"/>
          </xdr:nvSpPr>
          <xdr:spPr>
            <a:xfrm>
              <a:off x="18259425" y="14093393"/>
              <a:ext cx="1368067" cy="29815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𝑢^3=𝐾_0</a:t>
              </a:r>
              <a:r>
                <a:rPr kumimoji="1" lang="en-US" altLang="ja-JP" sz="1600" b="0" i="0">
                  <a:latin typeface="Cambria Math" panose="02040503050406030204" pitchFamily="18" charset="0"/>
                  <a:ea typeface="Cambria Math" panose="02040503050406030204" pitchFamily="18" charset="0"/>
                </a:rPr>
                <a:t>+√(𝐾_1 )</a:t>
              </a:r>
              <a:endParaRPr kumimoji="1" lang="ja-JP" altLang="en-US" sz="1600" i="1"/>
            </a:p>
          </xdr:txBody>
        </xdr:sp>
      </mc:Fallback>
    </mc:AlternateContent>
    <xdr:clientData/>
  </xdr:oneCellAnchor>
  <xdr:oneCellAnchor>
    <xdr:from>
      <xdr:col>69</xdr:col>
      <xdr:colOff>0</xdr:colOff>
      <xdr:row>59</xdr:row>
      <xdr:rowOff>0</xdr:rowOff>
    </xdr:from>
    <xdr:ext cx="1368836" cy="298159"/>
    <mc:AlternateContent xmlns:mc="http://schemas.openxmlformats.org/markup-compatibility/2006" xmlns:a14="http://schemas.microsoft.com/office/drawing/2010/main">
      <mc:Choice Requires="a14">
        <xdr:sp macro="" textlink="">
          <xdr:nvSpPr>
            <xdr:cNvPr id="39" name="テキスト ボックス 38">
              <a:extLst>
                <a:ext uri="{FF2B5EF4-FFF2-40B4-BE49-F238E27FC236}">
                  <a16:creationId xmlns:a16="http://schemas.microsoft.com/office/drawing/2014/main" id="{2695A131-28CE-497F-A69B-C29172E82110}"/>
                </a:ext>
              </a:extLst>
            </xdr:cNvPr>
            <xdr:cNvSpPr txBox="1"/>
          </xdr:nvSpPr>
          <xdr:spPr>
            <a:xfrm>
              <a:off x="19288125" y="14049375"/>
              <a:ext cx="1368836" cy="29815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𝑣</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𝐾</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ea typeface="Cambria Math" panose="02040503050406030204" pitchFamily="18" charset="0"/>
                      </a:rPr>
                      <m:t>−</m:t>
                    </m:r>
                    <m:rad>
                      <m:radPr>
                        <m:degHide m:val="on"/>
                        <m:ctrlPr>
                          <a:rPr kumimoji="1" lang="en-US" altLang="ja-JP" sz="1600" b="0" i="1">
                            <a:latin typeface="Cambria Math" panose="02040503050406030204" pitchFamily="18" charset="0"/>
                            <a:ea typeface="Cambria Math" panose="02040503050406030204" pitchFamily="18" charset="0"/>
                          </a:rPr>
                        </m:ctrlPr>
                      </m:radPr>
                      <m:deg/>
                      <m:e>
                        <m:sSub>
                          <m:sSubPr>
                            <m:ctrlPr>
                              <a:rPr kumimoji="1" lang="en-US" altLang="ja-JP" sz="1600" b="0" i="1">
                                <a:latin typeface="Cambria Math" panose="02040503050406030204" pitchFamily="18" charset="0"/>
                                <a:ea typeface="Cambria Math" panose="02040503050406030204" pitchFamily="18" charset="0"/>
                              </a:rPr>
                            </m:ctrlPr>
                          </m:sSubPr>
                          <m:e>
                            <m:r>
                              <a:rPr kumimoji="1" lang="en-US" altLang="ja-JP" sz="1600" b="0" i="1">
                                <a:latin typeface="Cambria Math" panose="02040503050406030204" pitchFamily="18" charset="0"/>
                                <a:ea typeface="Cambria Math" panose="02040503050406030204" pitchFamily="18" charset="0"/>
                              </a:rPr>
                              <m:t>𝐾</m:t>
                            </m:r>
                          </m:e>
                          <m:sub>
                            <m:r>
                              <a:rPr kumimoji="1" lang="en-US" altLang="ja-JP" sz="1600" b="0" i="1">
                                <a:latin typeface="Cambria Math" panose="02040503050406030204" pitchFamily="18" charset="0"/>
                                <a:ea typeface="Cambria Math" panose="02040503050406030204" pitchFamily="18" charset="0"/>
                              </a:rPr>
                              <m:t>1</m:t>
                            </m:r>
                          </m:sub>
                        </m:sSub>
                      </m:e>
                    </m:rad>
                  </m:oMath>
                </m:oMathPara>
              </a14:m>
              <a:endParaRPr kumimoji="1" lang="ja-JP" altLang="en-US" sz="1600" i="1"/>
            </a:p>
          </xdr:txBody>
        </xdr:sp>
      </mc:Choice>
      <mc:Fallback xmlns="">
        <xdr:sp macro="" textlink="">
          <xdr:nvSpPr>
            <xdr:cNvPr id="39" name="テキスト ボックス 38">
              <a:extLst>
                <a:ext uri="{FF2B5EF4-FFF2-40B4-BE49-F238E27FC236}">
                  <a16:creationId xmlns:a16="http://schemas.microsoft.com/office/drawing/2014/main" id="{2695A131-28CE-497F-A69B-C29172E82110}"/>
                </a:ext>
              </a:extLst>
            </xdr:cNvPr>
            <xdr:cNvSpPr txBox="1"/>
          </xdr:nvSpPr>
          <xdr:spPr>
            <a:xfrm>
              <a:off x="19288125" y="14049375"/>
              <a:ext cx="1368836" cy="29815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𝑣^3=𝐾_0</a:t>
              </a:r>
              <a:r>
                <a:rPr kumimoji="1" lang="en-US" altLang="ja-JP" sz="1600" b="0" i="0">
                  <a:latin typeface="Cambria Math" panose="02040503050406030204" pitchFamily="18" charset="0"/>
                  <a:ea typeface="Cambria Math" panose="02040503050406030204" pitchFamily="18" charset="0"/>
                </a:rPr>
                <a:t>−√(𝐾_1 )</a:t>
              </a:r>
              <a:endParaRPr kumimoji="1" lang="ja-JP" altLang="en-US" sz="1600" i="1"/>
            </a:p>
          </xdr:txBody>
        </xdr:sp>
      </mc:Fallback>
    </mc:AlternateContent>
    <xdr:clientData/>
  </xdr:oneCellAnchor>
  <xdr:oneCellAnchor>
    <xdr:from>
      <xdr:col>65</xdr:col>
      <xdr:colOff>0</xdr:colOff>
      <xdr:row>76</xdr:row>
      <xdr:rowOff>0</xdr:rowOff>
    </xdr:from>
    <xdr:ext cx="1012521" cy="257175"/>
    <mc:AlternateContent xmlns:mc="http://schemas.openxmlformats.org/markup-compatibility/2006" xmlns:a14="http://schemas.microsoft.com/office/drawing/2010/main">
      <mc:Choice Requires="a14">
        <xdr:sp macro="" textlink="">
          <xdr:nvSpPr>
            <xdr:cNvPr id="40" name="テキスト ボックス 39">
              <a:extLst>
                <a:ext uri="{FF2B5EF4-FFF2-40B4-BE49-F238E27FC236}">
                  <a16:creationId xmlns:a16="http://schemas.microsoft.com/office/drawing/2014/main" id="{69678BDC-CDB4-4A74-B116-F53762EBA095}"/>
                </a:ext>
              </a:extLst>
            </xdr:cNvPr>
            <xdr:cNvSpPr txBox="1"/>
          </xdr:nvSpPr>
          <xdr:spPr>
            <a:xfrm>
              <a:off x="18259425" y="18097500"/>
              <a:ext cx="1012521" cy="25717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𝑋</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𝑢</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𝑣</m:t>
                    </m:r>
                  </m:oMath>
                </m:oMathPara>
              </a14:m>
              <a:endParaRPr kumimoji="1" lang="ja-JP" altLang="en-US" sz="1600" i="1"/>
            </a:p>
          </xdr:txBody>
        </xdr:sp>
      </mc:Choice>
      <mc:Fallback xmlns="">
        <xdr:sp macro="" textlink="">
          <xdr:nvSpPr>
            <xdr:cNvPr id="40" name="テキスト ボックス 39">
              <a:extLst>
                <a:ext uri="{FF2B5EF4-FFF2-40B4-BE49-F238E27FC236}">
                  <a16:creationId xmlns:a16="http://schemas.microsoft.com/office/drawing/2014/main" id="{69678BDC-CDB4-4A74-B116-F53762EBA095}"/>
                </a:ext>
              </a:extLst>
            </xdr:cNvPr>
            <xdr:cNvSpPr txBox="1"/>
          </xdr:nvSpPr>
          <xdr:spPr>
            <a:xfrm>
              <a:off x="18259425" y="18097500"/>
              <a:ext cx="1012521" cy="25717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kumimoji="1" lang="en-US" altLang="ja-JP" sz="1600" b="0" i="0">
                  <a:latin typeface="Cambria Math" panose="02040503050406030204" pitchFamily="18" charset="0"/>
                </a:rPr>
                <a:t>𝑋_1=𝑢+𝑣</a:t>
              </a:r>
              <a:endParaRPr kumimoji="1" lang="ja-JP" altLang="en-US" sz="1600" i="1"/>
            </a:p>
          </xdr:txBody>
        </xdr:sp>
      </mc:Fallback>
    </mc:AlternateContent>
    <xdr:clientData/>
  </xdr:oneCellAnchor>
  <xdr:oneCellAnchor>
    <xdr:from>
      <xdr:col>65</xdr:col>
      <xdr:colOff>0</xdr:colOff>
      <xdr:row>77</xdr:row>
      <xdr:rowOff>2169</xdr:rowOff>
    </xdr:from>
    <xdr:ext cx="1413207" cy="255006"/>
    <mc:AlternateContent xmlns:mc="http://schemas.openxmlformats.org/markup-compatibility/2006" xmlns:a14="http://schemas.microsoft.com/office/drawing/2010/main">
      <mc:Choice Requires="a14">
        <xdr:sp macro="" textlink="">
          <xdr:nvSpPr>
            <xdr:cNvPr id="41" name="テキスト ボックス 40">
              <a:extLst>
                <a:ext uri="{FF2B5EF4-FFF2-40B4-BE49-F238E27FC236}">
                  <a16:creationId xmlns:a16="http://schemas.microsoft.com/office/drawing/2014/main" id="{4CFC1E0A-52A5-4EEA-92F8-4047F6731E95}"/>
                </a:ext>
              </a:extLst>
            </xdr:cNvPr>
            <xdr:cNvSpPr txBox="1"/>
          </xdr:nvSpPr>
          <xdr:spPr>
            <a:xfrm>
              <a:off x="18259425" y="18337794"/>
              <a:ext cx="1413207"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𝑋</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𝑢</m:t>
                    </m:r>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𝜔</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𝑣</m:t>
                    </m:r>
                    <m:r>
                      <a:rPr kumimoji="1" lang="ja-JP" altLang="en-US" sz="1600" b="0" i="1">
                        <a:latin typeface="Cambria Math" panose="02040503050406030204" pitchFamily="18" charset="0"/>
                      </a:rPr>
                      <m:t>𝜔</m:t>
                    </m:r>
                  </m:oMath>
                </m:oMathPara>
              </a14:m>
              <a:endParaRPr kumimoji="1" lang="ja-JP" altLang="en-US" sz="1600" i="1"/>
            </a:p>
          </xdr:txBody>
        </xdr:sp>
      </mc:Choice>
      <mc:Fallback xmlns="">
        <xdr:sp macro="" textlink="">
          <xdr:nvSpPr>
            <xdr:cNvPr id="41" name="テキスト ボックス 40">
              <a:extLst>
                <a:ext uri="{FF2B5EF4-FFF2-40B4-BE49-F238E27FC236}">
                  <a16:creationId xmlns:a16="http://schemas.microsoft.com/office/drawing/2014/main" id="{4CFC1E0A-52A5-4EEA-92F8-4047F6731E95}"/>
                </a:ext>
              </a:extLst>
            </xdr:cNvPr>
            <xdr:cNvSpPr txBox="1"/>
          </xdr:nvSpPr>
          <xdr:spPr>
            <a:xfrm>
              <a:off x="18259425" y="18337794"/>
              <a:ext cx="1413207"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𝑋_2=𝑢</a:t>
              </a:r>
              <a:r>
                <a:rPr kumimoji="1" lang="ja-JP" altLang="en-US" sz="1600" b="0" i="0">
                  <a:latin typeface="Cambria Math" panose="02040503050406030204" pitchFamily="18" charset="0"/>
                </a:rPr>
                <a:t>𝜔</a:t>
              </a:r>
              <a:r>
                <a:rPr kumimoji="1" lang="en-US" altLang="ja-JP" sz="1600" b="0" i="0">
                  <a:latin typeface="Cambria Math" panose="02040503050406030204" pitchFamily="18" charset="0"/>
                </a:rPr>
                <a:t>^2+𝑣</a:t>
              </a:r>
              <a:r>
                <a:rPr kumimoji="1" lang="ja-JP" altLang="en-US" sz="1600" b="0" i="0">
                  <a:latin typeface="Cambria Math" panose="02040503050406030204" pitchFamily="18" charset="0"/>
                </a:rPr>
                <a:t>𝜔</a:t>
              </a:r>
              <a:endParaRPr kumimoji="1" lang="ja-JP" altLang="en-US" sz="1600" i="1"/>
            </a:p>
          </xdr:txBody>
        </xdr:sp>
      </mc:Fallback>
    </mc:AlternateContent>
    <xdr:clientData/>
  </xdr:oneCellAnchor>
  <xdr:oneCellAnchor>
    <xdr:from>
      <xdr:col>65</xdr:col>
      <xdr:colOff>0</xdr:colOff>
      <xdr:row>78</xdr:row>
      <xdr:rowOff>0</xdr:rowOff>
    </xdr:from>
    <xdr:ext cx="1414041" cy="257175"/>
    <mc:AlternateContent xmlns:mc="http://schemas.openxmlformats.org/markup-compatibility/2006" xmlns:a14="http://schemas.microsoft.com/office/drawing/2010/main">
      <mc:Choice Requires="a14">
        <xdr:sp macro="" textlink="">
          <xdr:nvSpPr>
            <xdr:cNvPr id="42" name="テキスト ボックス 41">
              <a:extLst>
                <a:ext uri="{FF2B5EF4-FFF2-40B4-BE49-F238E27FC236}">
                  <a16:creationId xmlns:a16="http://schemas.microsoft.com/office/drawing/2014/main" id="{B70E598D-3554-47C1-A0A7-49E2C781B1A1}"/>
                </a:ext>
              </a:extLst>
            </xdr:cNvPr>
            <xdr:cNvSpPr txBox="1"/>
          </xdr:nvSpPr>
          <xdr:spPr>
            <a:xfrm>
              <a:off x="18259425" y="18573750"/>
              <a:ext cx="1414041" cy="25717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𝑋</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𝑢</m:t>
                    </m:r>
                    <m:r>
                      <a:rPr kumimoji="1" lang="ja-JP" altLang="en-US" sz="1600" b="0" i="1">
                        <a:latin typeface="Cambria Math" panose="02040503050406030204" pitchFamily="18" charset="0"/>
                      </a:rPr>
                      <m:t>𝜔</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𝑣</m:t>
                    </m:r>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𝜔</m:t>
                        </m:r>
                      </m:e>
                      <m:sup>
                        <m:r>
                          <a:rPr kumimoji="1" lang="en-US" altLang="ja-JP" sz="1600" b="0" i="1">
                            <a:latin typeface="Cambria Math" panose="02040503050406030204" pitchFamily="18" charset="0"/>
                          </a:rPr>
                          <m:t>2</m:t>
                        </m:r>
                      </m:sup>
                    </m:sSup>
                  </m:oMath>
                </m:oMathPara>
              </a14:m>
              <a:endParaRPr kumimoji="1" lang="ja-JP" altLang="en-US" sz="1600" i="1"/>
            </a:p>
          </xdr:txBody>
        </xdr:sp>
      </mc:Choice>
      <mc:Fallback xmlns="">
        <xdr:sp macro="" textlink="">
          <xdr:nvSpPr>
            <xdr:cNvPr id="42" name="テキスト ボックス 41">
              <a:extLst>
                <a:ext uri="{FF2B5EF4-FFF2-40B4-BE49-F238E27FC236}">
                  <a16:creationId xmlns:a16="http://schemas.microsoft.com/office/drawing/2014/main" id="{B70E598D-3554-47C1-A0A7-49E2C781B1A1}"/>
                </a:ext>
              </a:extLst>
            </xdr:cNvPr>
            <xdr:cNvSpPr txBox="1"/>
          </xdr:nvSpPr>
          <xdr:spPr>
            <a:xfrm>
              <a:off x="18259425" y="18573750"/>
              <a:ext cx="1414041" cy="25717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kumimoji="1" lang="en-US" altLang="ja-JP" sz="1600" b="0" i="0">
                  <a:latin typeface="Cambria Math" panose="02040503050406030204" pitchFamily="18" charset="0"/>
                </a:rPr>
                <a:t>𝑋_3=𝑢</a:t>
              </a:r>
              <a:r>
                <a:rPr kumimoji="1" lang="ja-JP" altLang="en-US" sz="1600" b="0" i="0">
                  <a:latin typeface="Cambria Math" panose="02040503050406030204" pitchFamily="18" charset="0"/>
                </a:rPr>
                <a:t>𝜔</a:t>
              </a:r>
              <a:r>
                <a:rPr kumimoji="1" lang="en-US" altLang="ja-JP" sz="1600" b="0" i="0">
                  <a:latin typeface="Cambria Math" panose="02040503050406030204" pitchFamily="18" charset="0"/>
                </a:rPr>
                <a:t>+𝑣</a:t>
              </a:r>
              <a:r>
                <a:rPr kumimoji="1" lang="ja-JP" altLang="en-US" sz="1600" b="0" i="0">
                  <a:latin typeface="Cambria Math" panose="02040503050406030204" pitchFamily="18" charset="0"/>
                </a:rPr>
                <a:t>𝜔</a:t>
              </a:r>
              <a:r>
                <a:rPr kumimoji="1" lang="en-US" altLang="ja-JP" sz="1600" b="0" i="0">
                  <a:latin typeface="Cambria Math" panose="02040503050406030204" pitchFamily="18" charset="0"/>
                </a:rPr>
                <a:t>^2</a:t>
              </a:r>
              <a:endParaRPr kumimoji="1" lang="ja-JP" altLang="en-US" sz="1600" i="1"/>
            </a:p>
          </xdr:txBody>
        </xdr:sp>
      </mc:Fallback>
    </mc:AlternateContent>
    <xdr:clientData/>
  </xdr:oneCellAnchor>
  <xdr:oneCellAnchor>
    <xdr:from>
      <xdr:col>65</xdr:col>
      <xdr:colOff>0</xdr:colOff>
      <xdr:row>95</xdr:row>
      <xdr:rowOff>13251</xdr:rowOff>
    </xdr:from>
    <xdr:ext cx="1035155" cy="501099"/>
    <mc:AlternateContent xmlns:mc="http://schemas.openxmlformats.org/markup-compatibility/2006" xmlns:a14="http://schemas.microsoft.com/office/drawing/2010/main">
      <mc:Choice Requires="a14">
        <xdr:sp macro="" textlink="">
          <xdr:nvSpPr>
            <xdr:cNvPr id="43" name="テキスト ボックス 42">
              <a:extLst>
                <a:ext uri="{FF2B5EF4-FFF2-40B4-BE49-F238E27FC236}">
                  <a16:creationId xmlns:a16="http://schemas.microsoft.com/office/drawing/2014/main" id="{BCF32873-1A50-413A-B88D-92D68036FDD1}"/>
                </a:ext>
              </a:extLst>
            </xdr:cNvPr>
            <xdr:cNvSpPr txBox="1"/>
          </xdr:nvSpPr>
          <xdr:spPr>
            <a:xfrm>
              <a:off x="18259425" y="22635126"/>
              <a:ext cx="1035155" cy="50109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𝐾</m:t>
                    </m:r>
                    <m:r>
                      <a:rPr kumimoji="1" lang="en-US" altLang="ja-JP" sz="1600" b="0" i="1">
                        <a:latin typeface="Cambria Math" panose="02040503050406030204" pitchFamily="18" charset="0"/>
                      </a:rPr>
                      <m:t>=2</m:t>
                    </m:r>
                    <m:rad>
                      <m:radPr>
                        <m:degHide m:val="on"/>
                        <m:ctrlPr>
                          <a:rPr kumimoji="1" lang="en-US" altLang="ja-JP" sz="1600" b="0" i="1">
                            <a:latin typeface="Cambria Math" panose="02040503050406030204" pitchFamily="18" charset="0"/>
                          </a:rPr>
                        </m:ctrlPr>
                      </m:radPr>
                      <m:deg/>
                      <m:e>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𝑝</m:t>
                            </m:r>
                          </m:num>
                          <m:den>
                            <m:r>
                              <a:rPr kumimoji="1" lang="en-US" altLang="ja-JP" sz="1600" b="0" i="1">
                                <a:latin typeface="Cambria Math" panose="02040503050406030204" pitchFamily="18" charset="0"/>
                              </a:rPr>
                              <m:t>3</m:t>
                            </m:r>
                          </m:den>
                        </m:f>
                      </m:e>
                    </m:rad>
                  </m:oMath>
                </m:oMathPara>
              </a14:m>
              <a:endParaRPr kumimoji="1" lang="ja-JP" altLang="en-US" sz="1600" i="1"/>
            </a:p>
          </xdr:txBody>
        </xdr:sp>
      </mc:Choice>
      <mc:Fallback xmlns="">
        <xdr:sp macro="" textlink="">
          <xdr:nvSpPr>
            <xdr:cNvPr id="43" name="テキスト ボックス 42">
              <a:extLst>
                <a:ext uri="{FF2B5EF4-FFF2-40B4-BE49-F238E27FC236}">
                  <a16:creationId xmlns:a16="http://schemas.microsoft.com/office/drawing/2014/main" id="{BCF32873-1A50-413A-B88D-92D68036FDD1}"/>
                </a:ext>
              </a:extLst>
            </xdr:cNvPr>
            <xdr:cNvSpPr txBox="1"/>
          </xdr:nvSpPr>
          <xdr:spPr>
            <a:xfrm>
              <a:off x="18259425" y="22635126"/>
              <a:ext cx="1035155" cy="50109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𝐾=2√(−𝑝/3)</a:t>
              </a:r>
              <a:endParaRPr kumimoji="1" lang="ja-JP" altLang="en-US" sz="1600" i="1"/>
            </a:p>
          </xdr:txBody>
        </xdr:sp>
      </mc:Fallback>
    </mc:AlternateContent>
    <xdr:clientData/>
  </xdr:oneCellAnchor>
  <xdr:oneCellAnchor>
    <xdr:from>
      <xdr:col>65</xdr:col>
      <xdr:colOff>0</xdr:colOff>
      <xdr:row>97</xdr:row>
      <xdr:rowOff>235982</xdr:rowOff>
    </xdr:from>
    <xdr:ext cx="2121029" cy="792718"/>
    <mc:AlternateContent xmlns:mc="http://schemas.openxmlformats.org/markup-compatibility/2006" xmlns:a14="http://schemas.microsoft.com/office/drawing/2010/main">
      <mc:Choice Requires="a14">
        <xdr:sp macro="" textlink="">
          <xdr:nvSpPr>
            <xdr:cNvPr id="44" name="テキスト ボックス 43">
              <a:extLst>
                <a:ext uri="{FF2B5EF4-FFF2-40B4-BE49-F238E27FC236}">
                  <a16:creationId xmlns:a16="http://schemas.microsoft.com/office/drawing/2014/main" id="{1B73C6A5-7C4A-4225-8C32-89F54BB87D11}"/>
                </a:ext>
              </a:extLst>
            </xdr:cNvPr>
            <xdr:cNvSpPr txBox="1"/>
          </xdr:nvSpPr>
          <xdr:spPr>
            <a:xfrm>
              <a:off x="18259425" y="23334107"/>
              <a:ext cx="2121029" cy="79271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ja-JP" altLang="en-US" sz="1600" b="0" i="1">
                        <a:latin typeface="Cambria Math" panose="02040503050406030204" pitchFamily="18" charset="0"/>
                      </a:rPr>
                      <m:t>𝜃</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1</m:t>
                        </m:r>
                      </m:num>
                      <m:den>
                        <m:r>
                          <a:rPr kumimoji="1" lang="en-US" altLang="ja-JP" sz="1600" b="0" i="1">
                            <a:latin typeface="Cambria Math" panose="02040503050406030204" pitchFamily="18" charset="0"/>
                          </a:rPr>
                          <m:t>3</m:t>
                        </m:r>
                      </m:den>
                    </m:f>
                    <m:func>
                      <m:funcPr>
                        <m:ctrlPr>
                          <a:rPr kumimoji="1" lang="en-US" altLang="ja-JP" sz="1600" b="0" i="1">
                            <a:latin typeface="Cambria Math" panose="02040503050406030204" pitchFamily="18" charset="0"/>
                          </a:rPr>
                        </m:ctrlPr>
                      </m:funcPr>
                      <m:fName>
                        <m:sSup>
                          <m:sSupPr>
                            <m:ctrlPr>
                              <a:rPr kumimoji="1" lang="en-US" altLang="ja-JP" sz="1600" b="0" i="1">
                                <a:latin typeface="Cambria Math" panose="02040503050406030204" pitchFamily="18" charset="0"/>
                              </a:rPr>
                            </m:ctrlPr>
                          </m:sSupPr>
                          <m:e>
                            <m:r>
                              <m:rPr>
                                <m:sty m:val="p"/>
                              </m:rPr>
                              <a:rPr kumimoji="1" lang="en-US" altLang="ja-JP" sz="1600" b="0" i="0">
                                <a:latin typeface="Cambria Math" panose="02040503050406030204" pitchFamily="18" charset="0"/>
                              </a:rPr>
                              <m:t>cos</m:t>
                            </m:r>
                          </m:e>
                          <m:sup>
                            <m:r>
                              <a:rPr kumimoji="1" lang="en-US" altLang="ja-JP" sz="1600" b="0" i="1">
                                <a:latin typeface="Cambria Math" panose="02040503050406030204" pitchFamily="18" charset="0"/>
                              </a:rPr>
                              <m:t>−1</m:t>
                            </m:r>
                          </m:sup>
                        </m:sSup>
                      </m:fName>
                      <m:e>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3</m:t>
                                </m:r>
                                <m:r>
                                  <a:rPr kumimoji="1" lang="en-US" altLang="ja-JP" sz="1600" b="0" i="1">
                                    <a:latin typeface="Cambria Math" panose="02040503050406030204" pitchFamily="18" charset="0"/>
                                  </a:rPr>
                                  <m:t>𝑞</m:t>
                                </m:r>
                              </m:num>
                              <m:den>
                                <m:r>
                                  <a:rPr kumimoji="1" lang="en-US" altLang="ja-JP" sz="1600" b="0" i="1">
                                    <a:latin typeface="Cambria Math" panose="02040503050406030204" pitchFamily="18" charset="0"/>
                                  </a:rPr>
                                  <m:t>2</m:t>
                                </m:r>
                                <m:r>
                                  <a:rPr kumimoji="1" lang="en-US" altLang="ja-JP" sz="1600" b="0" i="1">
                                    <a:latin typeface="Cambria Math" panose="02040503050406030204" pitchFamily="18" charset="0"/>
                                  </a:rPr>
                                  <m:t>𝑝</m:t>
                                </m:r>
                              </m:den>
                            </m:f>
                            <m:rad>
                              <m:radPr>
                                <m:degHide m:val="on"/>
                                <m:ctrlPr>
                                  <a:rPr kumimoji="1" lang="en-US" altLang="ja-JP" sz="1600" b="0" i="1">
                                    <a:latin typeface="Cambria Math" panose="02040503050406030204" pitchFamily="18" charset="0"/>
                                  </a:rPr>
                                </m:ctrlPr>
                              </m:radPr>
                              <m:deg/>
                              <m:e>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3</m:t>
                                    </m:r>
                                  </m:num>
                                  <m:den>
                                    <m:r>
                                      <a:rPr kumimoji="1" lang="en-US" altLang="ja-JP" sz="1600" b="0" i="1">
                                        <a:latin typeface="Cambria Math" panose="02040503050406030204" pitchFamily="18" charset="0"/>
                                      </a:rPr>
                                      <m:t>𝑝</m:t>
                                    </m:r>
                                  </m:den>
                                </m:f>
                              </m:e>
                            </m:rad>
                          </m:e>
                        </m:d>
                      </m:e>
                    </m:func>
                  </m:oMath>
                </m:oMathPara>
              </a14:m>
              <a:endParaRPr kumimoji="1" lang="ja-JP" altLang="en-US" sz="1600" i="1"/>
            </a:p>
          </xdr:txBody>
        </xdr:sp>
      </mc:Choice>
      <mc:Fallback xmlns="">
        <xdr:sp macro="" textlink="">
          <xdr:nvSpPr>
            <xdr:cNvPr id="44" name="テキスト ボックス 43">
              <a:extLst>
                <a:ext uri="{FF2B5EF4-FFF2-40B4-BE49-F238E27FC236}">
                  <a16:creationId xmlns:a16="http://schemas.microsoft.com/office/drawing/2014/main" id="{1B73C6A5-7C4A-4225-8C32-89F54BB87D11}"/>
                </a:ext>
              </a:extLst>
            </xdr:cNvPr>
            <xdr:cNvSpPr txBox="1"/>
          </xdr:nvSpPr>
          <xdr:spPr>
            <a:xfrm>
              <a:off x="18259425" y="23334107"/>
              <a:ext cx="2121029" cy="79271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ja-JP" altLang="en-US" sz="1600" b="0" i="0">
                  <a:latin typeface="Cambria Math" panose="02040503050406030204" pitchFamily="18" charset="0"/>
                </a:rPr>
                <a:t>𝜃</a:t>
              </a:r>
              <a:r>
                <a:rPr kumimoji="1" lang="en-US" altLang="ja-JP" sz="1600" b="0" i="0">
                  <a:latin typeface="Cambria Math" panose="02040503050406030204" pitchFamily="18" charset="0"/>
                </a:rPr>
                <a:t>=1/3  cos^(−1)⁡(3𝑞/2𝑝 √(−3/𝑝))</a:t>
              </a:r>
              <a:endParaRPr kumimoji="1" lang="ja-JP" altLang="en-US" sz="1600" i="1"/>
            </a:p>
          </xdr:txBody>
        </xdr:sp>
      </mc:Fallback>
    </mc:AlternateContent>
    <xdr:clientData/>
  </xdr:oneCellAnchor>
  <xdr:oneCellAnchor>
    <xdr:from>
      <xdr:col>65</xdr:col>
      <xdr:colOff>0</xdr:colOff>
      <xdr:row>102</xdr:row>
      <xdr:rowOff>6722</xdr:rowOff>
    </xdr:from>
    <xdr:ext cx="2025234" cy="250453"/>
    <mc:AlternateContent xmlns:mc="http://schemas.openxmlformats.org/markup-compatibility/2006" xmlns:a14="http://schemas.microsoft.com/office/drawing/2010/main">
      <mc:Choice Requires="a14">
        <xdr:sp macro="" textlink="">
          <xdr:nvSpPr>
            <xdr:cNvPr id="45" name="テキスト ボックス 44">
              <a:extLst>
                <a:ext uri="{FF2B5EF4-FFF2-40B4-BE49-F238E27FC236}">
                  <a16:creationId xmlns:a16="http://schemas.microsoft.com/office/drawing/2014/main" id="{590AEF16-0317-44D1-8721-B63C9BEE8F3A}"/>
                </a:ext>
              </a:extLst>
            </xdr:cNvPr>
            <xdr:cNvSpPr txBox="1"/>
          </xdr:nvSpPr>
          <xdr:spPr>
            <a:xfrm>
              <a:off x="18259425" y="24295472"/>
              <a:ext cx="2025234" cy="25045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𝑋</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𝑢</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𝑣</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𝐾</m:t>
                    </m:r>
                    <m:func>
                      <m:funcPr>
                        <m:ctrlPr>
                          <a:rPr kumimoji="1" lang="en-US" altLang="ja-JP" sz="1600" b="0" i="1">
                            <a:latin typeface="Cambria Math" panose="02040503050406030204" pitchFamily="18" charset="0"/>
                          </a:rPr>
                        </m:ctrlPr>
                      </m:funcPr>
                      <m:fName>
                        <m:r>
                          <m:rPr>
                            <m:sty m:val="p"/>
                          </m:rPr>
                          <a:rPr kumimoji="1" lang="en-US" altLang="ja-JP" sz="1600" b="0" i="0">
                            <a:latin typeface="Cambria Math" panose="02040503050406030204" pitchFamily="18" charset="0"/>
                          </a:rPr>
                          <m:t>cos</m:t>
                        </m:r>
                      </m:fName>
                      <m:e>
                        <m:d>
                          <m:dPr>
                            <m:ctrlPr>
                              <a:rPr kumimoji="1" lang="en-US" altLang="ja-JP" sz="1600" b="0" i="1">
                                <a:latin typeface="Cambria Math" panose="02040503050406030204" pitchFamily="18" charset="0"/>
                              </a:rPr>
                            </m:ctrlPr>
                          </m:dPr>
                          <m:e>
                            <m:r>
                              <a:rPr kumimoji="1" lang="ja-JP" altLang="en-US" sz="1600" b="0" i="1">
                                <a:latin typeface="Cambria Math" panose="02040503050406030204" pitchFamily="18" charset="0"/>
                              </a:rPr>
                              <m:t>𝜃</m:t>
                            </m:r>
                          </m:e>
                        </m:d>
                      </m:e>
                    </m:func>
                  </m:oMath>
                </m:oMathPara>
              </a14:m>
              <a:endParaRPr kumimoji="1" lang="ja-JP" altLang="en-US" sz="1600" i="1"/>
            </a:p>
          </xdr:txBody>
        </xdr:sp>
      </mc:Choice>
      <mc:Fallback xmlns="">
        <xdr:sp macro="" textlink="">
          <xdr:nvSpPr>
            <xdr:cNvPr id="45" name="テキスト ボックス 44">
              <a:extLst>
                <a:ext uri="{FF2B5EF4-FFF2-40B4-BE49-F238E27FC236}">
                  <a16:creationId xmlns:a16="http://schemas.microsoft.com/office/drawing/2014/main" id="{590AEF16-0317-44D1-8721-B63C9BEE8F3A}"/>
                </a:ext>
              </a:extLst>
            </xdr:cNvPr>
            <xdr:cNvSpPr txBox="1"/>
          </xdr:nvSpPr>
          <xdr:spPr>
            <a:xfrm>
              <a:off x="18259425" y="24295472"/>
              <a:ext cx="2025234" cy="25045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𝑋_1=𝑢+𝑣=𝐾 cos⁡(</a:t>
              </a:r>
              <a:r>
                <a:rPr kumimoji="1" lang="ja-JP" altLang="en-US" sz="1600" b="0" i="0">
                  <a:latin typeface="Cambria Math" panose="02040503050406030204" pitchFamily="18" charset="0"/>
                </a:rPr>
                <a:t>𝜃)</a:t>
              </a:r>
              <a:endParaRPr kumimoji="1" lang="ja-JP" altLang="en-US" sz="1600" i="1"/>
            </a:p>
          </xdr:txBody>
        </xdr:sp>
      </mc:Fallback>
    </mc:AlternateContent>
    <xdr:clientData/>
  </xdr:oneCellAnchor>
  <xdr:oneCellAnchor>
    <xdr:from>
      <xdr:col>65</xdr:col>
      <xdr:colOff>0</xdr:colOff>
      <xdr:row>107</xdr:row>
      <xdr:rowOff>0</xdr:rowOff>
    </xdr:from>
    <xdr:ext cx="3077958" cy="466923"/>
    <mc:AlternateContent xmlns:mc="http://schemas.openxmlformats.org/markup-compatibility/2006" xmlns:a14="http://schemas.microsoft.com/office/drawing/2010/main">
      <mc:Choice Requires="a14">
        <xdr:sp macro="" textlink="">
          <xdr:nvSpPr>
            <xdr:cNvPr id="46" name="テキスト ボックス 45">
              <a:extLst>
                <a:ext uri="{FF2B5EF4-FFF2-40B4-BE49-F238E27FC236}">
                  <a16:creationId xmlns:a16="http://schemas.microsoft.com/office/drawing/2014/main" id="{3B7BAED9-EC60-418F-BC97-270D9CE251BF}"/>
                </a:ext>
              </a:extLst>
            </xdr:cNvPr>
            <xdr:cNvSpPr txBox="1"/>
          </xdr:nvSpPr>
          <xdr:spPr>
            <a:xfrm>
              <a:off x="18259425" y="25479375"/>
              <a:ext cx="3077958" cy="46692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𝑋</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𝑢</m:t>
                    </m:r>
                    <m:r>
                      <a:rPr kumimoji="1" lang="ja-JP" altLang="en-US" sz="1600" b="0" i="1">
                        <a:latin typeface="Cambria Math" panose="02040503050406030204" pitchFamily="18" charset="0"/>
                      </a:rPr>
                      <m:t>𝜔</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𝑣</m:t>
                    </m:r>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𝜔</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𝐾</m:t>
                    </m:r>
                    <m:func>
                      <m:funcPr>
                        <m:ctrlPr>
                          <a:rPr kumimoji="1" lang="en-US" altLang="ja-JP" sz="1600" b="0" i="1">
                            <a:latin typeface="Cambria Math" panose="02040503050406030204" pitchFamily="18" charset="0"/>
                          </a:rPr>
                        </m:ctrlPr>
                      </m:funcPr>
                      <m:fName>
                        <m:r>
                          <m:rPr>
                            <m:sty m:val="p"/>
                          </m:rPr>
                          <a:rPr kumimoji="1" lang="en-US" altLang="ja-JP" sz="1600" b="0" i="0">
                            <a:latin typeface="Cambria Math" panose="02040503050406030204" pitchFamily="18" charset="0"/>
                          </a:rPr>
                          <m:t>cos</m:t>
                        </m:r>
                      </m:fName>
                      <m:e>
                        <m:d>
                          <m:dPr>
                            <m:ctrlPr>
                              <a:rPr kumimoji="1" lang="en-US" altLang="ja-JP" sz="1600" b="0" i="1">
                                <a:latin typeface="Cambria Math" panose="02040503050406030204" pitchFamily="18" charset="0"/>
                              </a:rPr>
                            </m:ctrlPr>
                          </m:dPr>
                          <m:e>
                            <m:r>
                              <a:rPr kumimoji="1" lang="ja-JP" altLang="en-US" sz="1600" b="0" i="1">
                                <a:latin typeface="Cambria Math" panose="02040503050406030204" pitchFamily="18" charset="0"/>
                              </a:rPr>
                              <m:t>𝜃</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4</m:t>
                                </m:r>
                                <m:r>
                                  <a:rPr kumimoji="1" lang="ja-JP" altLang="en-US" sz="1600" b="0" i="1">
                                    <a:latin typeface="Cambria Math" panose="02040503050406030204" pitchFamily="18" charset="0"/>
                                  </a:rPr>
                                  <m:t>𝜋</m:t>
                                </m:r>
                              </m:num>
                              <m:den>
                                <m:r>
                                  <a:rPr kumimoji="1" lang="en-US" altLang="ja-JP" sz="1600" b="0" i="1">
                                    <a:latin typeface="Cambria Math" panose="02040503050406030204" pitchFamily="18" charset="0"/>
                                  </a:rPr>
                                  <m:t>3</m:t>
                                </m:r>
                              </m:den>
                            </m:f>
                          </m:e>
                        </m:d>
                      </m:e>
                    </m:func>
                  </m:oMath>
                </m:oMathPara>
              </a14:m>
              <a:endParaRPr kumimoji="1" lang="ja-JP" altLang="en-US" sz="1600" i="1"/>
            </a:p>
          </xdr:txBody>
        </xdr:sp>
      </mc:Choice>
      <mc:Fallback xmlns="">
        <xdr:sp macro="" textlink="">
          <xdr:nvSpPr>
            <xdr:cNvPr id="46" name="テキスト ボックス 45">
              <a:extLst>
                <a:ext uri="{FF2B5EF4-FFF2-40B4-BE49-F238E27FC236}">
                  <a16:creationId xmlns:a16="http://schemas.microsoft.com/office/drawing/2014/main" id="{3B7BAED9-EC60-418F-BC97-270D9CE251BF}"/>
                </a:ext>
              </a:extLst>
            </xdr:cNvPr>
            <xdr:cNvSpPr txBox="1"/>
          </xdr:nvSpPr>
          <xdr:spPr>
            <a:xfrm>
              <a:off x="18259425" y="25479375"/>
              <a:ext cx="3077958" cy="46692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𝑋_3=𝑢</a:t>
              </a:r>
              <a:r>
                <a:rPr kumimoji="1" lang="ja-JP" altLang="en-US" sz="1600" b="0" i="0">
                  <a:latin typeface="Cambria Math" panose="02040503050406030204" pitchFamily="18" charset="0"/>
                </a:rPr>
                <a:t>𝜔</a:t>
              </a:r>
              <a:r>
                <a:rPr kumimoji="1" lang="en-US" altLang="ja-JP" sz="1600" b="0" i="0">
                  <a:latin typeface="Cambria Math" panose="02040503050406030204" pitchFamily="18" charset="0"/>
                </a:rPr>
                <a:t>+𝑣</a:t>
              </a:r>
              <a:r>
                <a:rPr kumimoji="1" lang="ja-JP" altLang="en-US" sz="1600" b="0" i="0">
                  <a:latin typeface="Cambria Math" panose="02040503050406030204" pitchFamily="18" charset="0"/>
                </a:rPr>
                <a:t>𝜔</a:t>
              </a:r>
              <a:r>
                <a:rPr kumimoji="1" lang="en-US" altLang="ja-JP" sz="1600" b="0" i="0">
                  <a:latin typeface="Cambria Math" panose="02040503050406030204" pitchFamily="18" charset="0"/>
                </a:rPr>
                <a:t>^2=𝐾 cos⁡(</a:t>
              </a:r>
              <a:r>
                <a:rPr kumimoji="1" lang="ja-JP" altLang="en-US" sz="1600" b="0" i="0">
                  <a:latin typeface="Cambria Math" panose="02040503050406030204" pitchFamily="18" charset="0"/>
                </a:rPr>
                <a:t>𝜃</a:t>
              </a:r>
              <a:r>
                <a:rPr kumimoji="1" lang="en-US" altLang="ja-JP" sz="1600" b="0" i="0">
                  <a:latin typeface="Cambria Math" panose="02040503050406030204" pitchFamily="18" charset="0"/>
                </a:rPr>
                <a:t>+4</a:t>
              </a:r>
              <a:r>
                <a:rPr kumimoji="1" lang="ja-JP" altLang="en-US" sz="1600" b="0" i="0">
                  <a:latin typeface="Cambria Math" panose="02040503050406030204" pitchFamily="18" charset="0"/>
                </a:rPr>
                <a:t>𝜋</a:t>
              </a:r>
              <a:r>
                <a:rPr kumimoji="1" lang="en-US" altLang="ja-JP" sz="1600" b="0" i="0">
                  <a:latin typeface="Cambria Math" panose="02040503050406030204" pitchFamily="18" charset="0"/>
                </a:rPr>
                <a:t>/3)</a:t>
              </a:r>
              <a:endParaRPr kumimoji="1" lang="ja-JP" altLang="en-US" sz="1600" i="1"/>
            </a:p>
          </xdr:txBody>
        </xdr:sp>
      </mc:Fallback>
    </mc:AlternateContent>
    <xdr:clientData/>
  </xdr:oneCellAnchor>
  <xdr:oneCellAnchor>
    <xdr:from>
      <xdr:col>65</xdr:col>
      <xdr:colOff>0</xdr:colOff>
      <xdr:row>87</xdr:row>
      <xdr:rowOff>0</xdr:rowOff>
    </xdr:from>
    <xdr:ext cx="1796774" cy="255006"/>
    <mc:AlternateContent xmlns:mc="http://schemas.openxmlformats.org/markup-compatibility/2006" xmlns:a14="http://schemas.microsoft.com/office/drawing/2010/main">
      <mc:Choice Requires="a14">
        <xdr:sp macro="" textlink="">
          <xdr:nvSpPr>
            <xdr:cNvPr id="47" name="テキスト ボックス 46">
              <a:extLst>
                <a:ext uri="{FF2B5EF4-FFF2-40B4-BE49-F238E27FC236}">
                  <a16:creationId xmlns:a16="http://schemas.microsoft.com/office/drawing/2014/main" id="{AB407A5B-8E07-4DDC-9508-F9E8EFC54EFC}"/>
                </a:ext>
              </a:extLst>
            </xdr:cNvPr>
            <xdr:cNvSpPr txBox="1"/>
          </xdr:nvSpPr>
          <xdr:spPr>
            <a:xfrm>
              <a:off x="18259425" y="20716875"/>
              <a:ext cx="1796774"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𝐷</m:t>
                    </m:r>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4</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𝑝</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+27</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𝑞</m:t>
                            </m:r>
                          </m:e>
                          <m:sup>
                            <m:r>
                              <a:rPr kumimoji="1" lang="en-US" altLang="ja-JP" sz="1600" b="0" i="1">
                                <a:latin typeface="Cambria Math" panose="02040503050406030204" pitchFamily="18" charset="0"/>
                              </a:rPr>
                              <m:t>2</m:t>
                            </m:r>
                          </m:sup>
                        </m:sSup>
                      </m:e>
                    </m:d>
                  </m:oMath>
                </m:oMathPara>
              </a14:m>
              <a:endParaRPr kumimoji="1" lang="ja-JP" altLang="en-US" sz="1600" i="1"/>
            </a:p>
          </xdr:txBody>
        </xdr:sp>
      </mc:Choice>
      <mc:Fallback xmlns="">
        <xdr:sp macro="" textlink="">
          <xdr:nvSpPr>
            <xdr:cNvPr id="47" name="テキスト ボックス 46">
              <a:extLst>
                <a:ext uri="{FF2B5EF4-FFF2-40B4-BE49-F238E27FC236}">
                  <a16:creationId xmlns:a16="http://schemas.microsoft.com/office/drawing/2014/main" id="{AB407A5B-8E07-4DDC-9508-F9E8EFC54EFC}"/>
                </a:ext>
              </a:extLst>
            </xdr:cNvPr>
            <xdr:cNvSpPr txBox="1"/>
          </xdr:nvSpPr>
          <xdr:spPr>
            <a:xfrm>
              <a:off x="18259425" y="20716875"/>
              <a:ext cx="1796774"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𝐷=−(4𝑝^3+27𝑞^2 )</a:t>
              </a:r>
              <a:endParaRPr kumimoji="1" lang="ja-JP" altLang="en-US" sz="1600" i="1"/>
            </a:p>
          </xdr:txBody>
        </xdr:sp>
      </mc:Fallback>
    </mc:AlternateContent>
    <xdr:clientData/>
  </xdr:oneCellAnchor>
  <xdr:twoCellAnchor>
    <xdr:from>
      <xdr:col>109</xdr:col>
      <xdr:colOff>0</xdr:colOff>
      <xdr:row>9</xdr:row>
      <xdr:rowOff>257174</xdr:rowOff>
    </xdr:from>
    <xdr:to>
      <xdr:col>120</xdr:col>
      <xdr:colOff>0</xdr:colOff>
      <xdr:row>20</xdr:row>
      <xdr:rowOff>257174</xdr:rowOff>
    </xdr:to>
    <xdr:graphicFrame macro="">
      <xdr:nvGraphicFramePr>
        <xdr:cNvPr id="48" name="グラフ 47">
          <a:extLst>
            <a:ext uri="{FF2B5EF4-FFF2-40B4-BE49-F238E27FC236}">
              <a16:creationId xmlns:a16="http://schemas.microsoft.com/office/drawing/2014/main" id="{E05C4E09-27FF-4E6F-B1D5-6E68AB5B9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82</xdr:col>
      <xdr:colOff>0</xdr:colOff>
      <xdr:row>14</xdr:row>
      <xdr:rowOff>0</xdr:rowOff>
    </xdr:from>
    <xdr:ext cx="1685925" cy="1685925"/>
    <xdr:pic>
      <xdr:nvPicPr>
        <xdr:cNvPr id="49" name="グラフィックス 48">
          <a:extLst>
            <a:ext uri="{FF2B5EF4-FFF2-40B4-BE49-F238E27FC236}">
              <a16:creationId xmlns:a16="http://schemas.microsoft.com/office/drawing/2014/main" id="{DC830C7B-1C68-49B7-B369-DB28C14461B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2631400" y="3333750"/>
          <a:ext cx="1685925" cy="1685925"/>
        </a:xfrm>
        <a:prstGeom prst="rect">
          <a:avLst/>
        </a:prstGeom>
      </xdr:spPr>
    </xdr:pic>
    <xdr:clientData/>
  </xdr:oneCellAnchor>
  <xdr:oneCellAnchor>
    <xdr:from>
      <xdr:col>82</xdr:col>
      <xdr:colOff>0</xdr:colOff>
      <xdr:row>22</xdr:row>
      <xdr:rowOff>0</xdr:rowOff>
    </xdr:from>
    <xdr:ext cx="1685925" cy="1685925"/>
    <xdr:pic>
      <xdr:nvPicPr>
        <xdr:cNvPr id="50" name="グラフィックス 49">
          <a:extLst>
            <a:ext uri="{FF2B5EF4-FFF2-40B4-BE49-F238E27FC236}">
              <a16:creationId xmlns:a16="http://schemas.microsoft.com/office/drawing/2014/main" id="{D254DD8B-E9CF-434E-B16D-8EF411E2FC6C}"/>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2631400" y="5238750"/>
          <a:ext cx="1685925" cy="1685925"/>
        </a:xfrm>
        <a:prstGeom prst="rect">
          <a:avLst/>
        </a:prstGeom>
      </xdr:spPr>
    </xdr:pic>
    <xdr:clientData/>
  </xdr:oneCellAnchor>
  <xdr:oneCellAnchor>
    <xdr:from>
      <xdr:col>82</xdr:col>
      <xdr:colOff>0</xdr:colOff>
      <xdr:row>30</xdr:row>
      <xdr:rowOff>0</xdr:rowOff>
    </xdr:from>
    <xdr:ext cx="1685925" cy="1685925"/>
    <xdr:pic>
      <xdr:nvPicPr>
        <xdr:cNvPr id="51" name="グラフィックス 50">
          <a:extLst>
            <a:ext uri="{FF2B5EF4-FFF2-40B4-BE49-F238E27FC236}">
              <a16:creationId xmlns:a16="http://schemas.microsoft.com/office/drawing/2014/main" id="{43F4ABDB-1655-4B89-922B-191FD65C322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22631400" y="7143750"/>
          <a:ext cx="1685925" cy="1685925"/>
        </a:xfrm>
        <a:prstGeom prst="rect">
          <a:avLst/>
        </a:prstGeom>
      </xdr:spPr>
    </xdr:pic>
    <xdr:clientData/>
  </xdr:oneCellAnchor>
  <xdr:oneCellAnchor>
    <xdr:from>
      <xdr:col>82</xdr:col>
      <xdr:colOff>0</xdr:colOff>
      <xdr:row>38</xdr:row>
      <xdr:rowOff>0</xdr:rowOff>
    </xdr:from>
    <xdr:ext cx="1685925" cy="1685925"/>
    <xdr:pic>
      <xdr:nvPicPr>
        <xdr:cNvPr id="52" name="グラフィックス 51">
          <a:extLst>
            <a:ext uri="{FF2B5EF4-FFF2-40B4-BE49-F238E27FC236}">
              <a16:creationId xmlns:a16="http://schemas.microsoft.com/office/drawing/2014/main" id="{5EF78FD1-BB9D-49DF-B5C2-588648507523}"/>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2631400" y="9048750"/>
          <a:ext cx="1685925" cy="1685925"/>
        </a:xfrm>
        <a:prstGeom prst="rect">
          <a:avLst/>
        </a:prstGeom>
      </xdr:spPr>
    </xdr:pic>
    <xdr:clientData/>
  </xdr:oneCellAnchor>
  <xdr:oneCellAnchor>
    <xdr:from>
      <xdr:col>82</xdr:col>
      <xdr:colOff>0</xdr:colOff>
      <xdr:row>46</xdr:row>
      <xdr:rowOff>0</xdr:rowOff>
    </xdr:from>
    <xdr:ext cx="1685925" cy="1685925"/>
    <xdr:pic>
      <xdr:nvPicPr>
        <xdr:cNvPr id="53" name="グラフィックス 52">
          <a:extLst>
            <a:ext uri="{FF2B5EF4-FFF2-40B4-BE49-F238E27FC236}">
              <a16:creationId xmlns:a16="http://schemas.microsoft.com/office/drawing/2014/main" id="{8E493FB8-16B1-4197-B401-C88A81E035A7}"/>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22631400" y="10953750"/>
          <a:ext cx="1685925" cy="1685925"/>
        </a:xfrm>
        <a:prstGeom prst="rect">
          <a:avLst/>
        </a:prstGeom>
      </xdr:spPr>
    </xdr:pic>
    <xdr:clientData/>
  </xdr:oneCellAnchor>
  <xdr:oneCellAnchor>
    <xdr:from>
      <xdr:col>93</xdr:col>
      <xdr:colOff>0</xdr:colOff>
      <xdr:row>14</xdr:row>
      <xdr:rowOff>0</xdr:rowOff>
    </xdr:from>
    <xdr:ext cx="1685925" cy="1685925"/>
    <xdr:pic>
      <xdr:nvPicPr>
        <xdr:cNvPr id="54" name="グラフィックス 53">
          <a:extLst>
            <a:ext uri="{FF2B5EF4-FFF2-40B4-BE49-F238E27FC236}">
              <a16:creationId xmlns:a16="http://schemas.microsoft.com/office/drawing/2014/main" id="{83812E3A-2AE8-4263-9BFC-99E3983BDC56}"/>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25460325" y="3333750"/>
          <a:ext cx="1685925" cy="1685925"/>
        </a:xfrm>
        <a:prstGeom prst="rect">
          <a:avLst/>
        </a:prstGeom>
      </xdr:spPr>
    </xdr:pic>
    <xdr:clientData/>
  </xdr:oneCellAnchor>
  <xdr:oneCellAnchor>
    <xdr:from>
      <xdr:col>93</xdr:col>
      <xdr:colOff>0</xdr:colOff>
      <xdr:row>22</xdr:row>
      <xdr:rowOff>0</xdr:rowOff>
    </xdr:from>
    <xdr:ext cx="1685925" cy="1685925"/>
    <xdr:pic>
      <xdr:nvPicPr>
        <xdr:cNvPr id="55" name="グラフィックス 54">
          <a:extLst>
            <a:ext uri="{FF2B5EF4-FFF2-40B4-BE49-F238E27FC236}">
              <a16:creationId xmlns:a16="http://schemas.microsoft.com/office/drawing/2014/main" id="{25BF0B7D-9EE1-4041-8EC5-749DBBAE8F66}"/>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25460325" y="5238750"/>
          <a:ext cx="1685925" cy="1685925"/>
        </a:xfrm>
        <a:prstGeom prst="rect">
          <a:avLst/>
        </a:prstGeom>
      </xdr:spPr>
    </xdr:pic>
    <xdr:clientData/>
  </xdr:oneCellAnchor>
  <xdr:oneCellAnchor>
    <xdr:from>
      <xdr:col>93</xdr:col>
      <xdr:colOff>0</xdr:colOff>
      <xdr:row>30</xdr:row>
      <xdr:rowOff>0</xdr:rowOff>
    </xdr:from>
    <xdr:ext cx="1685925" cy="1685925"/>
    <xdr:pic>
      <xdr:nvPicPr>
        <xdr:cNvPr id="56" name="グラフィックス 55">
          <a:extLst>
            <a:ext uri="{FF2B5EF4-FFF2-40B4-BE49-F238E27FC236}">
              <a16:creationId xmlns:a16="http://schemas.microsoft.com/office/drawing/2014/main" id="{263D1E33-49AC-4642-877D-282826FDC36F}"/>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25460325" y="7143750"/>
          <a:ext cx="1685925" cy="1685925"/>
        </a:xfrm>
        <a:prstGeom prst="rect">
          <a:avLst/>
        </a:prstGeom>
      </xdr:spPr>
    </xdr:pic>
    <xdr:clientData/>
  </xdr:oneCellAnchor>
  <xdr:oneCellAnchor>
    <xdr:from>
      <xdr:col>93</xdr:col>
      <xdr:colOff>0</xdr:colOff>
      <xdr:row>38</xdr:row>
      <xdr:rowOff>0</xdr:rowOff>
    </xdr:from>
    <xdr:ext cx="1685925" cy="1685925"/>
    <xdr:pic>
      <xdr:nvPicPr>
        <xdr:cNvPr id="57" name="グラフィックス 56">
          <a:extLst>
            <a:ext uri="{FF2B5EF4-FFF2-40B4-BE49-F238E27FC236}">
              <a16:creationId xmlns:a16="http://schemas.microsoft.com/office/drawing/2014/main" id="{555D43AD-4C34-4532-B406-813BE3FCA025}"/>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25460325" y="9048750"/>
          <a:ext cx="1685925" cy="1685925"/>
        </a:xfrm>
        <a:prstGeom prst="rect">
          <a:avLst/>
        </a:prstGeom>
      </xdr:spPr>
    </xdr:pic>
    <xdr:clientData/>
  </xdr:oneCellAnchor>
  <xdr:oneCellAnchor>
    <xdr:from>
      <xdr:col>93</xdr:col>
      <xdr:colOff>0</xdr:colOff>
      <xdr:row>46</xdr:row>
      <xdr:rowOff>0</xdr:rowOff>
    </xdr:from>
    <xdr:ext cx="1685925" cy="1685925"/>
    <xdr:pic>
      <xdr:nvPicPr>
        <xdr:cNvPr id="58" name="グラフィックス 57">
          <a:extLst>
            <a:ext uri="{FF2B5EF4-FFF2-40B4-BE49-F238E27FC236}">
              <a16:creationId xmlns:a16="http://schemas.microsoft.com/office/drawing/2014/main" id="{FA6D593F-71C6-46E4-A6C4-1820F93C76C9}"/>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25460325" y="10953750"/>
          <a:ext cx="1685925" cy="1685925"/>
        </a:xfrm>
        <a:prstGeom prst="rect">
          <a:avLst/>
        </a:prstGeom>
      </xdr:spPr>
    </xdr:pic>
    <xdr:clientData/>
  </xdr:oneCellAnchor>
  <xdr:oneCellAnchor>
    <xdr:from>
      <xdr:col>121</xdr:col>
      <xdr:colOff>0</xdr:colOff>
      <xdr:row>15</xdr:row>
      <xdr:rowOff>2169</xdr:rowOff>
    </xdr:from>
    <xdr:ext cx="5469831" cy="255006"/>
    <mc:AlternateContent xmlns:mc="http://schemas.openxmlformats.org/markup-compatibility/2006" xmlns:a14="http://schemas.microsoft.com/office/drawing/2010/main">
      <mc:Choice Requires="a14">
        <xdr:sp macro="" textlink="">
          <xdr:nvSpPr>
            <xdr:cNvPr id="59" name="テキスト ボックス 58">
              <a:extLst>
                <a:ext uri="{FF2B5EF4-FFF2-40B4-BE49-F238E27FC236}">
                  <a16:creationId xmlns:a16="http://schemas.microsoft.com/office/drawing/2014/main" id="{F3398721-7758-4142-AB7D-DCFCF26A22F0}"/>
                </a:ext>
              </a:extLst>
            </xdr:cNvPr>
            <xdr:cNvSpPr txBox="1"/>
          </xdr:nvSpPr>
          <xdr:spPr>
            <a:xfrm>
              <a:off x="32661225" y="3574044"/>
              <a:ext cx="5469831"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𝐷</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=−4</m:t>
                    </m:r>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e>
                      <m:sup>
                        <m:r>
                          <a:rPr kumimoji="1" lang="en-US" altLang="ja-JP" sz="1600" b="0" i="1">
                            <a:latin typeface="Cambria Math" panose="02040503050406030204" pitchFamily="18" charset="0"/>
                          </a:rPr>
                          <m:t>3</m:t>
                        </m:r>
                      </m:sup>
                    </m:sSup>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−4</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+18</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−27</m:t>
                    </m:r>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e>
                      <m:sup>
                        <m:r>
                          <a:rPr kumimoji="1" lang="en-US" altLang="ja-JP" sz="1600" b="0" i="1">
                            <a:latin typeface="Cambria Math" panose="02040503050406030204" pitchFamily="18" charset="0"/>
                          </a:rPr>
                          <m:t>2</m:t>
                        </m:r>
                      </m:sup>
                    </m:sSup>
                  </m:oMath>
                </m:oMathPara>
              </a14:m>
              <a:endParaRPr kumimoji="1" lang="ja-JP" altLang="en-US" sz="1600" i="1"/>
            </a:p>
          </xdr:txBody>
        </xdr:sp>
      </mc:Choice>
      <mc:Fallback xmlns="">
        <xdr:sp macro="" textlink="">
          <xdr:nvSpPr>
            <xdr:cNvPr id="59" name="テキスト ボックス 58">
              <a:extLst>
                <a:ext uri="{FF2B5EF4-FFF2-40B4-BE49-F238E27FC236}">
                  <a16:creationId xmlns:a16="http://schemas.microsoft.com/office/drawing/2014/main" id="{F3398721-7758-4142-AB7D-DCFCF26A22F0}"/>
                </a:ext>
              </a:extLst>
            </xdr:cNvPr>
            <xdr:cNvSpPr txBox="1"/>
          </xdr:nvSpPr>
          <xdr:spPr>
            <a:xfrm>
              <a:off x="32661225" y="3574044"/>
              <a:ext cx="5469831"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𝐷_1=−4〖𝑎_1〗^3 𝑎_3+〖𝑎_1〗^2 〖𝑎_2〗^2−4𝑎_0 〖𝑎_2〗^3+18𝑎_0 𝑎_1 𝑎_2 𝑎_3−27〖𝑎_0〗^2 〖𝑎_3〗^2</a:t>
              </a:r>
              <a:endParaRPr kumimoji="1" lang="ja-JP" altLang="en-US" sz="1600" i="1"/>
            </a:p>
          </xdr:txBody>
        </xdr:sp>
      </mc:Fallback>
    </mc:AlternateContent>
    <xdr:clientData/>
  </xdr:oneCellAnchor>
  <xdr:oneCellAnchor>
    <xdr:from>
      <xdr:col>121</xdr:col>
      <xdr:colOff>0</xdr:colOff>
      <xdr:row>21</xdr:row>
      <xdr:rowOff>2169</xdr:rowOff>
    </xdr:from>
    <xdr:ext cx="3078728" cy="255006"/>
    <mc:AlternateContent xmlns:mc="http://schemas.openxmlformats.org/markup-compatibility/2006" xmlns:a14="http://schemas.microsoft.com/office/drawing/2010/main">
      <mc:Choice Requires="a14">
        <xdr:sp macro="" textlink="">
          <xdr:nvSpPr>
            <xdr:cNvPr id="60" name="テキスト ボックス 59">
              <a:extLst>
                <a:ext uri="{FF2B5EF4-FFF2-40B4-BE49-F238E27FC236}">
                  <a16:creationId xmlns:a16="http://schemas.microsoft.com/office/drawing/2014/main" id="{E9EA7C64-2B17-4445-A0A2-5773DBD97F7B}"/>
                </a:ext>
              </a:extLst>
            </xdr:cNvPr>
            <xdr:cNvSpPr txBox="1"/>
          </xdr:nvSpPr>
          <xdr:spPr>
            <a:xfrm>
              <a:off x="32661225" y="5002794"/>
              <a:ext cx="3078728"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𝐷</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=−2</m:t>
                    </m:r>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+9</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−27</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e>
                      <m:sup>
                        <m:r>
                          <a:rPr kumimoji="1" lang="en-US" altLang="ja-JP" sz="1600" b="0" i="1">
                            <a:latin typeface="Cambria Math" panose="02040503050406030204" pitchFamily="18" charset="0"/>
                          </a:rPr>
                          <m:t>2</m:t>
                        </m:r>
                      </m:sup>
                    </m:sSup>
                  </m:oMath>
                </m:oMathPara>
              </a14:m>
              <a:endParaRPr kumimoji="1" lang="ja-JP" altLang="en-US" sz="1600" i="1"/>
            </a:p>
          </xdr:txBody>
        </xdr:sp>
      </mc:Choice>
      <mc:Fallback xmlns="">
        <xdr:sp macro="" textlink="">
          <xdr:nvSpPr>
            <xdr:cNvPr id="60" name="テキスト ボックス 59">
              <a:extLst>
                <a:ext uri="{FF2B5EF4-FFF2-40B4-BE49-F238E27FC236}">
                  <a16:creationId xmlns:a16="http://schemas.microsoft.com/office/drawing/2014/main" id="{E9EA7C64-2B17-4445-A0A2-5773DBD97F7B}"/>
                </a:ext>
              </a:extLst>
            </xdr:cNvPr>
            <xdr:cNvSpPr txBox="1"/>
          </xdr:nvSpPr>
          <xdr:spPr>
            <a:xfrm>
              <a:off x="32661225" y="5002794"/>
              <a:ext cx="3078728"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𝐷_2=−2〖𝑎_2〗^3+9𝑎_1 𝑎_2 𝑎_3−27𝑎_0 〖𝑎_3〗^2</a:t>
              </a:r>
              <a:endParaRPr kumimoji="1" lang="ja-JP" altLang="en-US" sz="1600" i="1"/>
            </a:p>
          </xdr:txBody>
        </xdr:sp>
      </mc:Fallback>
    </mc:AlternateContent>
    <xdr:clientData/>
  </xdr:oneCellAnchor>
  <xdr:oneCellAnchor>
    <xdr:from>
      <xdr:col>55</xdr:col>
      <xdr:colOff>0</xdr:colOff>
      <xdr:row>8</xdr:row>
      <xdr:rowOff>2169</xdr:rowOff>
    </xdr:from>
    <xdr:ext cx="3087384" cy="255006"/>
    <mc:AlternateContent xmlns:mc="http://schemas.openxmlformats.org/markup-compatibility/2006" xmlns:a14="http://schemas.microsoft.com/office/drawing/2010/main">
      <mc:Choice Requires="a14">
        <xdr:sp macro="" textlink="">
          <xdr:nvSpPr>
            <xdr:cNvPr id="61" name="テキスト ボックス 60">
              <a:extLst>
                <a:ext uri="{FF2B5EF4-FFF2-40B4-BE49-F238E27FC236}">
                  <a16:creationId xmlns:a16="http://schemas.microsoft.com/office/drawing/2014/main" id="{C0898340-6A77-494B-8582-6802181911C4}"/>
                </a:ext>
              </a:extLst>
            </xdr:cNvPr>
            <xdr:cNvSpPr txBox="1"/>
          </xdr:nvSpPr>
          <xdr:spPr>
            <a:xfrm>
              <a:off x="15687675" y="1907169"/>
              <a:ext cx="3087384"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𝑦</m:t>
                    </m:r>
                    <m:r>
                      <a:rPr kumimoji="1" lang="en-US" altLang="ja-JP" sz="1600" b="0" i="1">
                        <a:latin typeface="Cambria Math" panose="02040503050406030204" pitchFamily="18" charset="0"/>
                      </a:rPr>
                      <m:t>′=4</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+3</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𝑥</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+2</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𝑥</m:t>
                    </m:r>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oMath>
                </m:oMathPara>
              </a14:m>
              <a:endParaRPr kumimoji="1" lang="ja-JP" altLang="en-US" sz="1600" i="1"/>
            </a:p>
          </xdr:txBody>
        </xdr:sp>
      </mc:Choice>
      <mc:Fallback xmlns="">
        <xdr:sp macro="" textlink="">
          <xdr:nvSpPr>
            <xdr:cNvPr id="61" name="テキスト ボックス 60">
              <a:extLst>
                <a:ext uri="{FF2B5EF4-FFF2-40B4-BE49-F238E27FC236}">
                  <a16:creationId xmlns:a16="http://schemas.microsoft.com/office/drawing/2014/main" id="{C0898340-6A77-494B-8582-6802181911C4}"/>
                </a:ext>
              </a:extLst>
            </xdr:cNvPr>
            <xdr:cNvSpPr txBox="1"/>
          </xdr:nvSpPr>
          <xdr:spPr>
            <a:xfrm>
              <a:off x="15687675" y="1907169"/>
              <a:ext cx="3087384" cy="255006"/>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𝑦′=4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𝑥^3+3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𝑥^2+2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𝑥+</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a:t>
              </a:r>
              <a:endParaRPr kumimoji="1" lang="ja-JP" altLang="en-US" sz="1600" i="1"/>
            </a:p>
          </xdr:txBody>
        </xdr:sp>
      </mc:Fallback>
    </mc:AlternateContent>
    <xdr:clientData/>
  </xdr:oneCellAnchor>
  <xdr:twoCellAnchor>
    <xdr:from>
      <xdr:col>177</xdr:col>
      <xdr:colOff>0</xdr:colOff>
      <xdr:row>9</xdr:row>
      <xdr:rowOff>0</xdr:rowOff>
    </xdr:from>
    <xdr:to>
      <xdr:col>195</xdr:col>
      <xdr:colOff>0</xdr:colOff>
      <xdr:row>24</xdr:row>
      <xdr:rowOff>0</xdr:rowOff>
    </xdr:to>
    <xdr:graphicFrame macro="">
      <xdr:nvGraphicFramePr>
        <xdr:cNvPr id="63" name="グラフ 62">
          <a:extLst>
            <a:ext uri="{FF2B5EF4-FFF2-40B4-BE49-F238E27FC236}">
              <a16:creationId xmlns:a16="http://schemas.microsoft.com/office/drawing/2014/main" id="{095EB4A1-C4F6-3C64-8DBA-F542D1FE0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163</xdr:col>
      <xdr:colOff>0</xdr:colOff>
      <xdr:row>7</xdr:row>
      <xdr:rowOff>0</xdr:rowOff>
    </xdr:from>
    <xdr:ext cx="1107676" cy="404341"/>
    <mc:AlternateContent xmlns:mc="http://schemas.openxmlformats.org/markup-compatibility/2006" xmlns:a14="http://schemas.microsoft.com/office/drawing/2010/main">
      <mc:Choice Requires="a14">
        <xdr:sp macro="" textlink="">
          <xdr:nvSpPr>
            <xdr:cNvPr id="64" name="テキスト ボックス 63">
              <a:extLst>
                <a:ext uri="{FF2B5EF4-FFF2-40B4-BE49-F238E27FC236}">
                  <a16:creationId xmlns:a16="http://schemas.microsoft.com/office/drawing/2014/main" id="{75E3DF54-32FE-4F82-8405-7D6CC651FC43}"/>
                </a:ext>
              </a:extLst>
            </xdr:cNvPr>
            <xdr:cNvSpPr txBox="1"/>
          </xdr:nvSpPr>
          <xdr:spPr>
            <a:xfrm>
              <a:off x="27879675" y="1762125"/>
              <a:ext cx="1107676" cy="4043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kumimoji="1" lang="en-US" altLang="ja-JP" sz="1800" i="1">
                          <a:latin typeface="Cambria Math" panose="02040503050406030204" pitchFamily="18" charset="0"/>
                        </a:rPr>
                      </m:ctrlPr>
                    </m:sSubPr>
                    <m:e>
                      <m:r>
                        <a:rPr kumimoji="1" lang="en-US" altLang="ja-JP" sz="1800" b="0" i="1">
                          <a:latin typeface="Cambria Math" panose="02040503050406030204" pitchFamily="18" charset="0"/>
                        </a:rPr>
                        <m:t>𝐶</m:t>
                      </m:r>
                    </m:e>
                    <m:sub>
                      <m:r>
                        <a:rPr kumimoji="1" lang="en-US" altLang="ja-JP" sz="1800" b="0" i="1">
                          <a:latin typeface="Cambria Math" panose="02040503050406030204" pitchFamily="18" charset="0"/>
                        </a:rPr>
                        <m:t>𝑓</m:t>
                      </m:r>
                    </m:sub>
                  </m:sSub>
                  <m:r>
                    <a:rPr kumimoji="1" lang="en-US" altLang="ja-JP" sz="1800" b="0" i="1">
                      <a:latin typeface="Cambria Math" panose="02040503050406030204" pitchFamily="18" charset="0"/>
                    </a:rPr>
                    <m:t>=</m:t>
                  </m:r>
                  <m:f>
                    <m:fPr>
                      <m:ctrlPr>
                        <a:rPr kumimoji="1" lang="en-US" altLang="ja-JP" sz="1800" b="0" i="1">
                          <a:latin typeface="Cambria Math" panose="02040503050406030204" pitchFamily="18" charset="0"/>
                        </a:rPr>
                      </m:ctrlPr>
                    </m:fPr>
                    <m:num>
                      <m:r>
                        <a:rPr kumimoji="1" lang="en-US" altLang="ja-JP" sz="1800" b="0" i="1">
                          <a:latin typeface="Cambria Math" panose="02040503050406030204" pitchFamily="18" charset="0"/>
                        </a:rPr>
                        <m:t>𝑚</m:t>
                      </m:r>
                    </m:num>
                    <m:den>
                      <m:r>
                        <a:rPr kumimoji="1" lang="ja-JP" altLang="en-US" sz="1800" b="0" i="1">
                          <a:latin typeface="Cambria Math" panose="02040503050406030204" pitchFamily="18" charset="0"/>
                        </a:rPr>
                        <m:t>𝜌</m:t>
                      </m:r>
                      <m:sSub>
                        <m:sSubPr>
                          <m:ctrlPr>
                            <a:rPr kumimoji="1" lang="en-US" altLang="ja-JP" sz="1800" b="0" i="1">
                              <a:latin typeface="Cambria Math" panose="02040503050406030204" pitchFamily="18" charset="0"/>
                            </a:rPr>
                          </m:ctrlPr>
                        </m:sSubPr>
                        <m:e>
                          <m:r>
                            <a:rPr kumimoji="1" lang="en-US" altLang="ja-JP" sz="1800" b="0" i="1">
                              <a:latin typeface="Cambria Math" panose="02040503050406030204" pitchFamily="18" charset="0"/>
                            </a:rPr>
                            <m:t>𝑁</m:t>
                          </m:r>
                        </m:e>
                        <m:sub>
                          <m:r>
                            <a:rPr kumimoji="1" lang="en-US" altLang="ja-JP" sz="1800" b="0" i="1">
                              <a:latin typeface="Cambria Math" panose="02040503050406030204" pitchFamily="18" charset="0"/>
                            </a:rPr>
                            <m:t>𝑟</m:t>
                          </m:r>
                        </m:sub>
                      </m:sSub>
                      <m:sSup>
                        <m:sSupPr>
                          <m:ctrlPr>
                            <a:rPr kumimoji="1" lang="en-US" altLang="ja-JP" sz="1800" b="0" i="1">
                              <a:latin typeface="Cambria Math" panose="02040503050406030204" pitchFamily="18" charset="0"/>
                            </a:rPr>
                          </m:ctrlPr>
                        </m:sSupPr>
                        <m:e>
                          <m:r>
                            <a:rPr kumimoji="1" lang="en-US" altLang="ja-JP" sz="1800" b="0" i="1">
                              <a:latin typeface="Cambria Math" panose="02040503050406030204" pitchFamily="18" charset="0"/>
                            </a:rPr>
                            <m:t>𝐷</m:t>
                          </m:r>
                        </m:e>
                        <m:sup>
                          <m:r>
                            <a:rPr kumimoji="1" lang="en-US" altLang="ja-JP" sz="1800" b="0" i="1">
                              <a:latin typeface="Cambria Math" panose="02040503050406030204" pitchFamily="18" charset="0"/>
                            </a:rPr>
                            <m:t>3</m:t>
                          </m:r>
                        </m:sup>
                      </m:sSup>
                    </m:den>
                  </m:f>
                </m:oMath>
              </a14:m>
              <a:r>
                <a:rPr kumimoji="1" lang="ja-JP" altLang="en-US" sz="1800"/>
                <a:t> </a:t>
              </a:r>
            </a:p>
          </xdr:txBody>
        </xdr:sp>
      </mc:Choice>
      <mc:Fallback xmlns="">
        <xdr:sp macro="" textlink="">
          <xdr:nvSpPr>
            <xdr:cNvPr id="64" name="テキスト ボックス 63">
              <a:extLst>
                <a:ext uri="{FF2B5EF4-FFF2-40B4-BE49-F238E27FC236}">
                  <a16:creationId xmlns:a16="http://schemas.microsoft.com/office/drawing/2014/main" id="{75E3DF54-32FE-4F82-8405-7D6CC651FC43}"/>
                </a:ext>
              </a:extLst>
            </xdr:cNvPr>
            <xdr:cNvSpPr txBox="1"/>
          </xdr:nvSpPr>
          <xdr:spPr>
            <a:xfrm>
              <a:off x="27879675" y="1762125"/>
              <a:ext cx="1107676" cy="4043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0" i="0">
                  <a:latin typeface="Cambria Math" panose="02040503050406030204" pitchFamily="18" charset="0"/>
                </a:rPr>
                <a:t>𝐶_𝑓=𝑚/(</a:t>
              </a:r>
              <a:r>
                <a:rPr kumimoji="1" lang="ja-JP" altLang="en-US" sz="1800" b="0" i="0">
                  <a:latin typeface="Cambria Math" panose="02040503050406030204" pitchFamily="18" charset="0"/>
                </a:rPr>
                <a:t>𝜌</a:t>
              </a:r>
              <a:r>
                <a:rPr kumimoji="1" lang="en-US" altLang="ja-JP" sz="1800" b="0" i="0">
                  <a:latin typeface="Cambria Math" panose="02040503050406030204" pitchFamily="18" charset="0"/>
                </a:rPr>
                <a:t>𝑁_𝑟 𝐷^3 )</a:t>
              </a:r>
              <a:r>
                <a:rPr kumimoji="1" lang="ja-JP" altLang="en-US" sz="1800"/>
                <a:t> </a:t>
              </a:r>
            </a:p>
          </xdr:txBody>
        </xdr:sp>
      </mc:Fallback>
    </mc:AlternateContent>
    <xdr:clientData/>
  </xdr:oneCellAnchor>
  <xdr:oneCellAnchor>
    <xdr:from>
      <xdr:col>160</xdr:col>
      <xdr:colOff>0</xdr:colOff>
      <xdr:row>7</xdr:row>
      <xdr:rowOff>0</xdr:rowOff>
    </xdr:from>
    <xdr:ext cx="1259319" cy="482761"/>
    <mc:AlternateContent xmlns:mc="http://schemas.openxmlformats.org/markup-compatibility/2006" xmlns:a14="http://schemas.microsoft.com/office/drawing/2010/main">
      <mc:Choice Requires="a14">
        <xdr:sp macro="" textlink="">
          <xdr:nvSpPr>
            <xdr:cNvPr id="65" name="テキスト ボックス 64">
              <a:extLst>
                <a:ext uri="{FF2B5EF4-FFF2-40B4-BE49-F238E27FC236}">
                  <a16:creationId xmlns:a16="http://schemas.microsoft.com/office/drawing/2014/main" id="{80A940AB-C54A-45FB-B661-643F03D9E9DF}"/>
                </a:ext>
              </a:extLst>
            </xdr:cNvPr>
            <xdr:cNvSpPr txBox="1"/>
          </xdr:nvSpPr>
          <xdr:spPr>
            <a:xfrm>
              <a:off x="26317575" y="1762125"/>
              <a:ext cx="1259319" cy="4827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kumimoji="1" lang="en-US" altLang="ja-JP" sz="1800" i="1">
                          <a:latin typeface="Cambria Math" panose="02040503050406030204" pitchFamily="18" charset="0"/>
                        </a:rPr>
                      </m:ctrlPr>
                    </m:sSubPr>
                    <m:e>
                      <m:r>
                        <a:rPr kumimoji="1" lang="en-US" altLang="ja-JP" sz="1800" b="0" i="1">
                          <a:latin typeface="Cambria Math" panose="02040503050406030204" pitchFamily="18" charset="0"/>
                        </a:rPr>
                        <m:t>𝐶</m:t>
                      </m:r>
                    </m:e>
                    <m:sub>
                      <m:r>
                        <a:rPr kumimoji="1" lang="en-US" altLang="ja-JP" sz="1800" b="0" i="1">
                          <a:latin typeface="Cambria Math" panose="02040503050406030204" pitchFamily="18" charset="0"/>
                        </a:rPr>
                        <m:t>h</m:t>
                      </m:r>
                    </m:sub>
                  </m:sSub>
                  <m:r>
                    <a:rPr kumimoji="1" lang="en-US" altLang="ja-JP" sz="1800" b="0" i="1">
                      <a:latin typeface="Cambria Math" panose="02040503050406030204" pitchFamily="18" charset="0"/>
                    </a:rPr>
                    <m:t>=</m:t>
                  </m:r>
                  <m:f>
                    <m:fPr>
                      <m:ctrlPr>
                        <a:rPr kumimoji="1" lang="en-US" altLang="ja-JP" sz="1800" b="0" i="1">
                          <a:latin typeface="Cambria Math" panose="02040503050406030204" pitchFamily="18" charset="0"/>
                        </a:rPr>
                      </m:ctrlPr>
                    </m:fPr>
                    <m:num>
                      <m:sSup>
                        <m:sSupPr>
                          <m:ctrlPr>
                            <a:rPr kumimoji="1" lang="en-US" altLang="ja-JP" sz="1800" b="0" i="1">
                              <a:latin typeface="Cambria Math" panose="02040503050406030204" pitchFamily="18" charset="0"/>
                            </a:rPr>
                          </m:ctrlPr>
                        </m:sSupPr>
                        <m:e>
                          <m:r>
                            <a:rPr kumimoji="1" lang="en-US" altLang="ja-JP" sz="1800" b="0" i="1">
                              <a:latin typeface="Cambria Math" panose="02040503050406030204" pitchFamily="18" charset="0"/>
                            </a:rPr>
                            <m:t>10</m:t>
                          </m:r>
                        </m:e>
                        <m:sup>
                          <m:r>
                            <a:rPr kumimoji="1" lang="en-US" altLang="ja-JP" sz="1800" b="0" i="1">
                              <a:latin typeface="Cambria Math" panose="02040503050406030204" pitchFamily="18" charset="0"/>
                            </a:rPr>
                            <m:t>3</m:t>
                          </m:r>
                        </m:sup>
                      </m:sSup>
                      <m:r>
                        <a:rPr kumimoji="1" lang="en-US" altLang="ja-JP" sz="1800" b="0" i="1">
                          <a:latin typeface="Cambria Math" panose="02040503050406030204" pitchFamily="18" charset="0"/>
                        </a:rPr>
                        <m:t>𝑑𝑃</m:t>
                      </m:r>
                    </m:num>
                    <m:den>
                      <m:r>
                        <a:rPr kumimoji="1" lang="ja-JP" altLang="en-US" sz="1800" b="0" i="1">
                          <a:latin typeface="Cambria Math" panose="02040503050406030204" pitchFamily="18" charset="0"/>
                        </a:rPr>
                        <m:t>𝜌</m:t>
                      </m:r>
                      <m:sSup>
                        <m:sSupPr>
                          <m:ctrlPr>
                            <a:rPr kumimoji="1" lang="en-US" altLang="ja-JP" sz="1800" b="0" i="1">
                              <a:latin typeface="Cambria Math" panose="02040503050406030204" pitchFamily="18" charset="0"/>
                            </a:rPr>
                          </m:ctrlPr>
                        </m:sSupPr>
                        <m:e>
                          <m:sSub>
                            <m:sSubPr>
                              <m:ctrlPr>
                                <a:rPr kumimoji="1" lang="en-US" altLang="ja-JP" sz="1800" b="0" i="1">
                                  <a:latin typeface="Cambria Math" panose="02040503050406030204" pitchFamily="18" charset="0"/>
                                </a:rPr>
                              </m:ctrlPr>
                            </m:sSubPr>
                            <m:e>
                              <m:r>
                                <a:rPr kumimoji="1" lang="en-US" altLang="ja-JP" sz="1800" b="0" i="1">
                                  <a:latin typeface="Cambria Math" panose="02040503050406030204" pitchFamily="18" charset="0"/>
                                </a:rPr>
                                <m:t>𝑁</m:t>
                              </m:r>
                            </m:e>
                            <m:sub>
                              <m:r>
                                <a:rPr kumimoji="1" lang="en-US" altLang="ja-JP" sz="1800" b="0" i="1">
                                  <a:latin typeface="Cambria Math" panose="02040503050406030204" pitchFamily="18" charset="0"/>
                                </a:rPr>
                                <m:t>𝑟</m:t>
                              </m:r>
                            </m:sub>
                          </m:sSub>
                        </m:e>
                        <m:sup>
                          <m:r>
                            <a:rPr kumimoji="1" lang="en-US" altLang="ja-JP" sz="1800" b="0" i="1">
                              <a:latin typeface="Cambria Math" panose="02040503050406030204" pitchFamily="18" charset="0"/>
                            </a:rPr>
                            <m:t>2</m:t>
                          </m:r>
                        </m:sup>
                      </m:sSup>
                      <m:sSup>
                        <m:sSupPr>
                          <m:ctrlPr>
                            <a:rPr kumimoji="1" lang="en-US" altLang="ja-JP" sz="1800" b="0" i="1">
                              <a:latin typeface="Cambria Math" panose="02040503050406030204" pitchFamily="18" charset="0"/>
                            </a:rPr>
                          </m:ctrlPr>
                        </m:sSupPr>
                        <m:e>
                          <m:r>
                            <a:rPr kumimoji="1" lang="en-US" altLang="ja-JP" sz="1800" b="0" i="1">
                              <a:latin typeface="Cambria Math" panose="02040503050406030204" pitchFamily="18" charset="0"/>
                            </a:rPr>
                            <m:t>𝐷</m:t>
                          </m:r>
                        </m:e>
                        <m:sup>
                          <m:r>
                            <a:rPr kumimoji="1" lang="en-US" altLang="ja-JP" sz="1800" b="0" i="1">
                              <a:latin typeface="Cambria Math" panose="02040503050406030204" pitchFamily="18" charset="0"/>
                            </a:rPr>
                            <m:t>2</m:t>
                          </m:r>
                        </m:sup>
                      </m:sSup>
                    </m:den>
                  </m:f>
                </m:oMath>
              </a14:m>
              <a:r>
                <a:rPr kumimoji="1" lang="ja-JP" altLang="en-US" sz="1800"/>
                <a:t> </a:t>
              </a:r>
            </a:p>
          </xdr:txBody>
        </xdr:sp>
      </mc:Choice>
      <mc:Fallback xmlns="">
        <xdr:sp macro="" textlink="">
          <xdr:nvSpPr>
            <xdr:cNvPr id="65" name="テキスト ボックス 64">
              <a:extLst>
                <a:ext uri="{FF2B5EF4-FFF2-40B4-BE49-F238E27FC236}">
                  <a16:creationId xmlns:a16="http://schemas.microsoft.com/office/drawing/2014/main" id="{80A940AB-C54A-45FB-B661-643F03D9E9DF}"/>
                </a:ext>
              </a:extLst>
            </xdr:cNvPr>
            <xdr:cNvSpPr txBox="1"/>
          </xdr:nvSpPr>
          <xdr:spPr>
            <a:xfrm>
              <a:off x="26317575" y="1762125"/>
              <a:ext cx="1259319" cy="4827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0" i="0">
                  <a:latin typeface="Cambria Math" panose="02040503050406030204" pitchFamily="18" charset="0"/>
                </a:rPr>
                <a:t>𝐶_ℎ=(10^3 𝑑𝑃)/(</a:t>
              </a:r>
              <a:r>
                <a:rPr kumimoji="1" lang="ja-JP" altLang="en-US" sz="1800" b="0" i="0">
                  <a:latin typeface="Cambria Math" panose="02040503050406030204" pitchFamily="18" charset="0"/>
                </a:rPr>
                <a:t>𝜌</a:t>
              </a:r>
              <a:r>
                <a:rPr kumimoji="1" lang="en-US" altLang="ja-JP" sz="1800" b="0" i="0">
                  <a:latin typeface="Cambria Math" panose="02040503050406030204" pitchFamily="18" charset="0"/>
                </a:rPr>
                <a:t>〖𝑁_𝑟〗^2 𝐷^2 )</a:t>
              </a:r>
              <a:r>
                <a:rPr kumimoji="1" lang="ja-JP" altLang="en-US" sz="1800"/>
                <a:t> </a:t>
              </a:r>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twoCellAnchor>
    <xdr:from>
      <xdr:col>29</xdr:col>
      <xdr:colOff>0</xdr:colOff>
      <xdr:row>9</xdr:row>
      <xdr:rowOff>0</xdr:rowOff>
    </xdr:from>
    <xdr:to>
      <xdr:col>47</xdr:col>
      <xdr:colOff>0</xdr:colOff>
      <xdr:row>24</xdr:row>
      <xdr:rowOff>0</xdr:rowOff>
    </xdr:to>
    <xdr:graphicFrame macro="">
      <xdr:nvGraphicFramePr>
        <xdr:cNvPr id="2" name="グラフ 1">
          <a:extLst>
            <a:ext uri="{FF2B5EF4-FFF2-40B4-BE49-F238E27FC236}">
              <a16:creationId xmlns:a16="http://schemas.microsoft.com/office/drawing/2014/main" id="{055C1DEB-F5C6-415F-B30C-6985FB631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19</xdr:col>
      <xdr:colOff>0</xdr:colOff>
      <xdr:row>7</xdr:row>
      <xdr:rowOff>0</xdr:rowOff>
    </xdr:from>
    <xdr:ext cx="3648115" cy="28802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9984BF58-6298-4230-9FA5-994B246BBE56}"/>
                </a:ext>
              </a:extLst>
            </xdr:cNvPr>
            <xdr:cNvSpPr txBox="1"/>
          </xdr:nvSpPr>
          <xdr:spPr>
            <a:xfrm>
              <a:off x="6429375" y="1666875"/>
              <a:ext cx="3648115" cy="2880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ja-JP" altLang="en-US" sz="1600" b="0" i="1">
                        <a:latin typeface="Cambria Math" panose="02040503050406030204" pitchFamily="18" charset="0"/>
                      </a:rPr>
                      <m:t>𝜂</m:t>
                    </m:r>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𝛽</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sub>
                        </m:sSub>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𝛽</m:t>
                        </m:r>
                      </m:e>
                      <m:sub>
                        <m:r>
                          <a:rPr kumimoji="1" lang="en-US" altLang="ja-JP" sz="1600" b="0" i="1">
                            <a:latin typeface="Cambria Math" panose="02040503050406030204" pitchFamily="18" charset="0"/>
                          </a:rPr>
                          <m:t>2</m:t>
                        </m:r>
                      </m:sub>
                    </m:sSub>
                    <m:sSup>
                      <m:sSupPr>
                        <m:ctrlPr>
                          <a:rPr kumimoji="1" lang="en-US" altLang="ja-JP" sz="1600" b="0" i="1">
                            <a:solidFill>
                              <a:schemeClr val="tx1"/>
                            </a:solidFill>
                            <a:effectLst/>
                            <a:latin typeface="Cambria Math" panose="02040503050406030204" pitchFamily="18" charset="0"/>
                            <a:ea typeface="+mn-ea"/>
                            <a:cs typeface="+mn-cs"/>
                          </a:rPr>
                        </m:ctrlPr>
                      </m:sSupPr>
                      <m:e>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sub>
                        </m:sSub>
                      </m:e>
                      <m:sup>
                        <m:r>
                          <a:rPr kumimoji="1" lang="en-US" altLang="ja-JP" sz="1600" b="0" i="1">
                            <a:solidFill>
                              <a:schemeClr val="tx1"/>
                            </a:solidFill>
                            <a:effectLst/>
                            <a:latin typeface="Cambria Math" panose="02040503050406030204" pitchFamily="18" charset="0"/>
                            <a:ea typeface="+mn-ea"/>
                            <a:cs typeface="+mn-cs"/>
                          </a:rPr>
                          <m:t>3</m:t>
                        </m:r>
                      </m:sup>
                    </m:sSup>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𝛽</m:t>
                        </m:r>
                      </m:e>
                      <m:sub>
                        <m:r>
                          <a:rPr kumimoji="1" lang="en-US" altLang="ja-JP" sz="1600" b="0" i="1">
                            <a:solidFill>
                              <a:schemeClr val="tx1"/>
                            </a:solidFill>
                            <a:effectLst/>
                            <a:latin typeface="Cambria Math" panose="02040503050406030204" pitchFamily="18" charset="0"/>
                            <a:ea typeface="+mn-ea"/>
                            <a:cs typeface="+mn-cs"/>
                          </a:rPr>
                          <m:t>3</m:t>
                        </m:r>
                      </m:sub>
                    </m:sSub>
                    <m:sSup>
                      <m:sSupPr>
                        <m:ctrlPr>
                          <a:rPr kumimoji="1" lang="en-US" altLang="ja-JP" sz="1600" b="0" i="1">
                            <a:solidFill>
                              <a:schemeClr val="tx1"/>
                            </a:solidFill>
                            <a:effectLst/>
                            <a:latin typeface="Cambria Math" panose="02040503050406030204" pitchFamily="18" charset="0"/>
                            <a:ea typeface="+mn-ea"/>
                            <a:cs typeface="+mn-cs"/>
                          </a:rPr>
                        </m:ctrlPr>
                      </m:sSupPr>
                      <m:e>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sub>
                        </m:sSub>
                      </m:e>
                      <m:sup>
                        <m:r>
                          <a:rPr kumimoji="1" lang="en-US" altLang="ja-JP" sz="1600" b="0" i="1">
                            <a:solidFill>
                              <a:schemeClr val="tx1"/>
                            </a:solidFill>
                            <a:effectLst/>
                            <a:latin typeface="Cambria Math" panose="02040503050406030204" pitchFamily="18" charset="0"/>
                            <a:ea typeface="+mn-ea"/>
                            <a:cs typeface="+mn-cs"/>
                          </a:rPr>
                          <m:t>2</m:t>
                        </m:r>
                      </m:sup>
                    </m:sSup>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𝛽</m:t>
                        </m:r>
                      </m:e>
                      <m:sub>
                        <m:r>
                          <a:rPr kumimoji="1" lang="en-US" altLang="ja-JP" sz="1600" b="0" i="1">
                            <a:solidFill>
                              <a:schemeClr val="tx1"/>
                            </a:solidFill>
                            <a:effectLst/>
                            <a:latin typeface="Cambria Math" panose="02040503050406030204" pitchFamily="18" charset="0"/>
                            <a:ea typeface="+mn-ea"/>
                            <a:cs typeface="+mn-cs"/>
                          </a:rPr>
                          <m:t>4</m:t>
                        </m:r>
                      </m:sub>
                    </m:sSub>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sub>
                    </m:sSub>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𝛽</m:t>
                        </m:r>
                      </m:e>
                      <m:sub>
                        <m:r>
                          <a:rPr kumimoji="1" lang="en-US" altLang="ja-JP" sz="1600" b="0" i="1">
                            <a:solidFill>
                              <a:schemeClr val="tx1"/>
                            </a:solidFill>
                            <a:effectLst/>
                            <a:latin typeface="Cambria Math" panose="02040503050406030204" pitchFamily="18" charset="0"/>
                            <a:ea typeface="+mn-ea"/>
                            <a:cs typeface="+mn-cs"/>
                          </a:rPr>
                          <m:t>5</m:t>
                        </m:r>
                      </m:sub>
                    </m:sSub>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9984BF58-6298-4230-9FA5-994B246BBE56}"/>
                </a:ext>
              </a:extLst>
            </xdr:cNvPr>
            <xdr:cNvSpPr txBox="1"/>
          </xdr:nvSpPr>
          <xdr:spPr>
            <a:xfrm>
              <a:off x="6429375" y="1666875"/>
              <a:ext cx="3648115" cy="2880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ja-JP" altLang="en-US" sz="1600" b="0" i="0">
                  <a:latin typeface="Cambria Math" panose="02040503050406030204" pitchFamily="18" charset="0"/>
                </a:rPr>
                <a:t>𝜂</a:t>
              </a:r>
              <a:r>
                <a:rPr kumimoji="1" lang="en-US" altLang="ja-JP" sz="1600" b="0" i="0">
                  <a:latin typeface="Cambria Math" panose="02040503050406030204" pitchFamily="18" charset="0"/>
                </a:rPr>
                <a:t>=</a:t>
              </a:r>
              <a:r>
                <a:rPr kumimoji="1" lang="ja-JP" altLang="en-US" sz="1600" b="0" i="0">
                  <a:latin typeface="Cambria Math" panose="02040503050406030204" pitchFamily="18" charset="0"/>
                </a:rPr>
                <a:t>𝛽</a:t>
              </a:r>
              <a:r>
                <a:rPr kumimoji="1" lang="en-US" altLang="ja-JP" sz="1600" b="0" i="0">
                  <a:latin typeface="Cambria Math" panose="02040503050406030204" pitchFamily="18" charset="0"/>
                </a:rPr>
                <a:t>_1 〖𝐶_𝑓〗^4+</a:t>
              </a:r>
              <a:r>
                <a:rPr kumimoji="1" lang="ja-JP" altLang="en-US" sz="1600" b="0" i="0">
                  <a:latin typeface="Cambria Math" panose="02040503050406030204" pitchFamily="18" charset="0"/>
                </a:rPr>
                <a:t>𝛽</a:t>
              </a:r>
              <a:r>
                <a:rPr kumimoji="1" lang="en-US" altLang="ja-JP" sz="1600" b="0" i="0">
                  <a:latin typeface="Cambria Math" panose="02040503050406030204" pitchFamily="18" charset="0"/>
                </a:rPr>
                <a:t>_2</a:t>
              </a:r>
              <a:r>
                <a:rPr kumimoji="1" lang="en-US" altLang="ja-JP" sz="1600" b="0" i="0">
                  <a:solidFill>
                    <a:schemeClr val="tx1"/>
                  </a:solidFill>
                  <a:effectLst/>
                  <a:latin typeface="Cambria Math" panose="02040503050406030204" pitchFamily="18" charset="0"/>
                  <a:ea typeface="+mn-ea"/>
                  <a:cs typeface="+mn-cs"/>
                </a:rPr>
                <a:t> 〖𝐶_𝑓〗^3+</a:t>
              </a:r>
              <a:r>
                <a:rPr kumimoji="1" lang="ja-JP" altLang="en-US" sz="1600" b="0" i="0">
                  <a:solidFill>
                    <a:schemeClr val="tx1"/>
                  </a:solidFill>
                  <a:effectLst/>
                  <a:latin typeface="Cambria Math" panose="02040503050406030204" pitchFamily="18" charset="0"/>
                  <a:ea typeface="+mn-ea"/>
                  <a:cs typeface="+mn-cs"/>
                </a:rPr>
                <a:t>𝛽</a:t>
              </a:r>
              <a:r>
                <a:rPr kumimoji="1" lang="en-US" altLang="ja-JP" sz="1600" b="0" i="0">
                  <a:solidFill>
                    <a:schemeClr val="tx1"/>
                  </a:solidFill>
                  <a:effectLst/>
                  <a:latin typeface="Cambria Math" panose="02040503050406030204" pitchFamily="18" charset="0"/>
                  <a:ea typeface="+mn-ea"/>
                  <a:cs typeface="+mn-cs"/>
                </a:rPr>
                <a:t>_3 〖𝐶_𝑓〗^2+</a:t>
              </a:r>
              <a:r>
                <a:rPr kumimoji="1" lang="ja-JP" altLang="en-US" sz="1600" b="0" i="0">
                  <a:solidFill>
                    <a:schemeClr val="tx1"/>
                  </a:solidFill>
                  <a:effectLst/>
                  <a:latin typeface="Cambria Math" panose="02040503050406030204" pitchFamily="18" charset="0"/>
                  <a:ea typeface="+mn-ea"/>
                  <a:cs typeface="+mn-cs"/>
                </a:rPr>
                <a:t>𝛽</a:t>
              </a:r>
              <a:r>
                <a:rPr kumimoji="1" lang="en-US" altLang="ja-JP" sz="1600" b="0" i="0">
                  <a:solidFill>
                    <a:schemeClr val="tx1"/>
                  </a:solidFill>
                  <a:effectLst/>
                  <a:latin typeface="Cambria Math" panose="02040503050406030204" pitchFamily="18" charset="0"/>
                  <a:ea typeface="+mn-ea"/>
                  <a:cs typeface="+mn-cs"/>
                </a:rPr>
                <a:t>_4 𝐶_𝑓+</a:t>
              </a:r>
              <a:r>
                <a:rPr kumimoji="1" lang="ja-JP" altLang="en-US" sz="1600" b="0" i="0">
                  <a:solidFill>
                    <a:schemeClr val="tx1"/>
                  </a:solidFill>
                  <a:effectLst/>
                  <a:latin typeface="Cambria Math" panose="02040503050406030204" pitchFamily="18" charset="0"/>
                  <a:ea typeface="+mn-ea"/>
                  <a:cs typeface="+mn-cs"/>
                </a:rPr>
                <a:t>𝛽</a:t>
              </a:r>
              <a:r>
                <a:rPr kumimoji="1" lang="en-US" altLang="ja-JP" sz="1600" b="0" i="0">
                  <a:solidFill>
                    <a:schemeClr val="tx1"/>
                  </a:solidFill>
                  <a:effectLst/>
                  <a:latin typeface="Cambria Math" panose="02040503050406030204" pitchFamily="18" charset="0"/>
                  <a:ea typeface="+mn-ea"/>
                  <a:cs typeface="+mn-cs"/>
                </a:rPr>
                <a:t>_5</a:t>
              </a:r>
              <a:endParaRPr kumimoji="1" lang="ja-JP" altLang="en-US" sz="1600" i="1"/>
            </a:p>
          </xdr:txBody>
        </xdr:sp>
      </mc:Fallback>
    </mc:AlternateContent>
    <xdr:clientData/>
  </xdr:oneCellAnchor>
  <xdr:twoCellAnchor>
    <xdr:from>
      <xdr:col>74</xdr:col>
      <xdr:colOff>0</xdr:colOff>
      <xdr:row>9</xdr:row>
      <xdr:rowOff>0</xdr:rowOff>
    </xdr:from>
    <xdr:to>
      <xdr:col>92</xdr:col>
      <xdr:colOff>0</xdr:colOff>
      <xdr:row>24</xdr:row>
      <xdr:rowOff>0</xdr:rowOff>
    </xdr:to>
    <xdr:graphicFrame macro="">
      <xdr:nvGraphicFramePr>
        <xdr:cNvPr id="5" name="グラフ 4">
          <a:extLst>
            <a:ext uri="{FF2B5EF4-FFF2-40B4-BE49-F238E27FC236}">
              <a16:creationId xmlns:a16="http://schemas.microsoft.com/office/drawing/2014/main" id="{ACB355C1-EBE8-4BAD-A84C-E989B2845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60</xdr:col>
      <xdr:colOff>0</xdr:colOff>
      <xdr:row>7</xdr:row>
      <xdr:rowOff>0</xdr:rowOff>
    </xdr:from>
    <xdr:ext cx="1107676" cy="404341"/>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B4199B2B-3586-40F4-81A5-5B5B838A7C4D}"/>
                </a:ext>
              </a:extLst>
            </xdr:cNvPr>
            <xdr:cNvSpPr txBox="1"/>
          </xdr:nvSpPr>
          <xdr:spPr>
            <a:xfrm>
              <a:off x="27879675" y="1762125"/>
              <a:ext cx="1107676" cy="4043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kumimoji="1" lang="en-US" altLang="ja-JP" sz="1800" i="1">
                          <a:latin typeface="Cambria Math" panose="02040503050406030204" pitchFamily="18" charset="0"/>
                        </a:rPr>
                      </m:ctrlPr>
                    </m:sSubPr>
                    <m:e>
                      <m:r>
                        <a:rPr kumimoji="1" lang="en-US" altLang="ja-JP" sz="1800" b="0" i="1">
                          <a:latin typeface="Cambria Math" panose="02040503050406030204" pitchFamily="18" charset="0"/>
                        </a:rPr>
                        <m:t>𝐶</m:t>
                      </m:r>
                    </m:e>
                    <m:sub>
                      <m:r>
                        <a:rPr kumimoji="1" lang="en-US" altLang="ja-JP" sz="1800" b="0" i="1">
                          <a:latin typeface="Cambria Math" panose="02040503050406030204" pitchFamily="18" charset="0"/>
                        </a:rPr>
                        <m:t>𝑓</m:t>
                      </m:r>
                    </m:sub>
                  </m:sSub>
                  <m:r>
                    <a:rPr kumimoji="1" lang="en-US" altLang="ja-JP" sz="1800" b="0" i="1">
                      <a:latin typeface="Cambria Math" panose="02040503050406030204" pitchFamily="18" charset="0"/>
                    </a:rPr>
                    <m:t>=</m:t>
                  </m:r>
                  <m:f>
                    <m:fPr>
                      <m:ctrlPr>
                        <a:rPr kumimoji="1" lang="en-US" altLang="ja-JP" sz="1800" b="0" i="1">
                          <a:latin typeface="Cambria Math" panose="02040503050406030204" pitchFamily="18" charset="0"/>
                        </a:rPr>
                      </m:ctrlPr>
                    </m:fPr>
                    <m:num>
                      <m:r>
                        <a:rPr kumimoji="1" lang="en-US" altLang="ja-JP" sz="1800" b="0" i="1">
                          <a:latin typeface="Cambria Math" panose="02040503050406030204" pitchFamily="18" charset="0"/>
                        </a:rPr>
                        <m:t>𝑚</m:t>
                      </m:r>
                    </m:num>
                    <m:den>
                      <m:r>
                        <a:rPr kumimoji="1" lang="ja-JP" altLang="en-US" sz="1800" b="0" i="1">
                          <a:latin typeface="Cambria Math" panose="02040503050406030204" pitchFamily="18" charset="0"/>
                        </a:rPr>
                        <m:t>𝜌</m:t>
                      </m:r>
                      <m:sSub>
                        <m:sSubPr>
                          <m:ctrlPr>
                            <a:rPr kumimoji="1" lang="en-US" altLang="ja-JP" sz="1800" b="0" i="1">
                              <a:latin typeface="Cambria Math" panose="02040503050406030204" pitchFamily="18" charset="0"/>
                            </a:rPr>
                          </m:ctrlPr>
                        </m:sSubPr>
                        <m:e>
                          <m:r>
                            <a:rPr kumimoji="1" lang="en-US" altLang="ja-JP" sz="1800" b="0" i="1">
                              <a:latin typeface="Cambria Math" panose="02040503050406030204" pitchFamily="18" charset="0"/>
                            </a:rPr>
                            <m:t>𝑁</m:t>
                          </m:r>
                        </m:e>
                        <m:sub>
                          <m:r>
                            <a:rPr kumimoji="1" lang="en-US" altLang="ja-JP" sz="1800" b="0" i="1">
                              <a:latin typeface="Cambria Math" panose="02040503050406030204" pitchFamily="18" charset="0"/>
                            </a:rPr>
                            <m:t>𝑟</m:t>
                          </m:r>
                        </m:sub>
                      </m:sSub>
                      <m:sSup>
                        <m:sSupPr>
                          <m:ctrlPr>
                            <a:rPr kumimoji="1" lang="en-US" altLang="ja-JP" sz="1800" b="0" i="1">
                              <a:latin typeface="Cambria Math" panose="02040503050406030204" pitchFamily="18" charset="0"/>
                            </a:rPr>
                          </m:ctrlPr>
                        </m:sSupPr>
                        <m:e>
                          <m:r>
                            <a:rPr kumimoji="1" lang="en-US" altLang="ja-JP" sz="1800" b="0" i="1">
                              <a:latin typeface="Cambria Math" panose="02040503050406030204" pitchFamily="18" charset="0"/>
                            </a:rPr>
                            <m:t>𝐷</m:t>
                          </m:r>
                        </m:e>
                        <m:sup>
                          <m:r>
                            <a:rPr kumimoji="1" lang="en-US" altLang="ja-JP" sz="1800" b="0" i="1">
                              <a:latin typeface="Cambria Math" panose="02040503050406030204" pitchFamily="18" charset="0"/>
                            </a:rPr>
                            <m:t>3</m:t>
                          </m:r>
                        </m:sup>
                      </m:sSup>
                    </m:den>
                  </m:f>
                </m:oMath>
              </a14:m>
              <a:r>
                <a:rPr kumimoji="1" lang="ja-JP" altLang="en-US" sz="1800"/>
                <a:t> </a:t>
              </a:r>
            </a:p>
          </xdr:txBody>
        </xdr:sp>
      </mc:Choice>
      <mc:Fallback xmlns="">
        <xdr:sp macro="" textlink="">
          <xdr:nvSpPr>
            <xdr:cNvPr id="6" name="テキスト ボックス 5">
              <a:extLst>
                <a:ext uri="{FF2B5EF4-FFF2-40B4-BE49-F238E27FC236}">
                  <a16:creationId xmlns:a16="http://schemas.microsoft.com/office/drawing/2014/main" id="{B4199B2B-3586-40F4-81A5-5B5B838A7C4D}"/>
                </a:ext>
              </a:extLst>
            </xdr:cNvPr>
            <xdr:cNvSpPr txBox="1"/>
          </xdr:nvSpPr>
          <xdr:spPr>
            <a:xfrm>
              <a:off x="27879675" y="1762125"/>
              <a:ext cx="1107676" cy="4043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0" i="0">
                  <a:latin typeface="Cambria Math" panose="02040503050406030204" pitchFamily="18" charset="0"/>
                </a:rPr>
                <a:t>𝐶_𝑓=𝑚/(</a:t>
              </a:r>
              <a:r>
                <a:rPr kumimoji="1" lang="ja-JP" altLang="en-US" sz="1800" b="0" i="0">
                  <a:latin typeface="Cambria Math" panose="02040503050406030204" pitchFamily="18" charset="0"/>
                </a:rPr>
                <a:t>𝜌</a:t>
              </a:r>
              <a:r>
                <a:rPr kumimoji="1" lang="en-US" altLang="ja-JP" sz="1800" b="0" i="0">
                  <a:latin typeface="Cambria Math" panose="02040503050406030204" pitchFamily="18" charset="0"/>
                </a:rPr>
                <a:t>𝑁_𝑟 𝐷^3 )</a:t>
              </a:r>
              <a:r>
                <a:rPr kumimoji="1" lang="ja-JP" altLang="en-US" sz="1800"/>
                <a:t> </a:t>
              </a:r>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xdr:from>
      <xdr:col>29</xdr:col>
      <xdr:colOff>0</xdr:colOff>
      <xdr:row>9</xdr:row>
      <xdr:rowOff>0</xdr:rowOff>
    </xdr:from>
    <xdr:to>
      <xdr:col>47</xdr:col>
      <xdr:colOff>0</xdr:colOff>
      <xdr:row>24</xdr:row>
      <xdr:rowOff>0</xdr:rowOff>
    </xdr:to>
    <xdr:graphicFrame macro="">
      <xdr:nvGraphicFramePr>
        <xdr:cNvPr id="2" name="グラフ 1">
          <a:extLst>
            <a:ext uri="{FF2B5EF4-FFF2-40B4-BE49-F238E27FC236}">
              <a16:creationId xmlns:a16="http://schemas.microsoft.com/office/drawing/2014/main" id="{7CE25AED-510E-4322-8570-9D00986F6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19</xdr:col>
      <xdr:colOff>0</xdr:colOff>
      <xdr:row>7</xdr:row>
      <xdr:rowOff>0</xdr:rowOff>
    </xdr:from>
    <xdr:ext cx="3734997" cy="28802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E4C9A873-9626-459C-A8A3-56FD74B122E8}"/>
                </a:ext>
              </a:extLst>
            </xdr:cNvPr>
            <xdr:cNvSpPr txBox="1"/>
          </xdr:nvSpPr>
          <xdr:spPr>
            <a:xfrm>
              <a:off x="6429375" y="1666875"/>
              <a:ext cx="3734997" cy="2880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𝑊</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𝛾</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sub>
                        </m:sSub>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𝛾</m:t>
                        </m:r>
                      </m:e>
                      <m:sub>
                        <m:r>
                          <a:rPr kumimoji="1" lang="en-US" altLang="ja-JP" sz="1600" b="0" i="1">
                            <a:latin typeface="Cambria Math" panose="02040503050406030204" pitchFamily="18" charset="0"/>
                          </a:rPr>
                          <m:t>2</m:t>
                        </m:r>
                      </m:sub>
                    </m:sSub>
                    <m:sSup>
                      <m:sSupPr>
                        <m:ctrlPr>
                          <a:rPr kumimoji="1" lang="en-US" altLang="ja-JP" sz="1600" b="0" i="1">
                            <a:solidFill>
                              <a:schemeClr val="tx1"/>
                            </a:solidFill>
                            <a:effectLst/>
                            <a:latin typeface="Cambria Math" panose="02040503050406030204" pitchFamily="18" charset="0"/>
                            <a:ea typeface="+mn-ea"/>
                            <a:cs typeface="+mn-cs"/>
                          </a:rPr>
                        </m:ctrlPr>
                      </m:sSupPr>
                      <m:e>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sub>
                        </m:sSub>
                      </m:e>
                      <m:sup>
                        <m:r>
                          <a:rPr kumimoji="1" lang="en-US" altLang="ja-JP" sz="1600" b="0" i="1">
                            <a:solidFill>
                              <a:schemeClr val="tx1"/>
                            </a:solidFill>
                            <a:effectLst/>
                            <a:latin typeface="Cambria Math" panose="02040503050406030204" pitchFamily="18" charset="0"/>
                            <a:ea typeface="+mn-ea"/>
                            <a:cs typeface="+mn-cs"/>
                          </a:rPr>
                          <m:t>3</m:t>
                        </m:r>
                      </m:sup>
                    </m:sSup>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𝛾</m:t>
                        </m:r>
                      </m:e>
                      <m:sub>
                        <m:r>
                          <a:rPr kumimoji="1" lang="en-US" altLang="ja-JP" sz="1600" b="0" i="1">
                            <a:solidFill>
                              <a:schemeClr val="tx1"/>
                            </a:solidFill>
                            <a:effectLst/>
                            <a:latin typeface="Cambria Math" panose="02040503050406030204" pitchFamily="18" charset="0"/>
                            <a:ea typeface="+mn-ea"/>
                            <a:cs typeface="+mn-cs"/>
                          </a:rPr>
                          <m:t>3</m:t>
                        </m:r>
                      </m:sub>
                    </m:sSub>
                    <m:sSup>
                      <m:sSupPr>
                        <m:ctrlPr>
                          <a:rPr kumimoji="1" lang="en-US" altLang="ja-JP" sz="1600" b="0" i="1">
                            <a:solidFill>
                              <a:schemeClr val="tx1"/>
                            </a:solidFill>
                            <a:effectLst/>
                            <a:latin typeface="Cambria Math" panose="02040503050406030204" pitchFamily="18" charset="0"/>
                            <a:ea typeface="+mn-ea"/>
                            <a:cs typeface="+mn-cs"/>
                          </a:rPr>
                        </m:ctrlPr>
                      </m:sSupPr>
                      <m:e>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sub>
                        </m:sSub>
                      </m:e>
                      <m:sup>
                        <m:r>
                          <a:rPr kumimoji="1" lang="en-US" altLang="ja-JP" sz="1600" b="0" i="1">
                            <a:solidFill>
                              <a:schemeClr val="tx1"/>
                            </a:solidFill>
                            <a:effectLst/>
                            <a:latin typeface="Cambria Math" panose="02040503050406030204" pitchFamily="18" charset="0"/>
                            <a:ea typeface="+mn-ea"/>
                            <a:cs typeface="+mn-cs"/>
                          </a:rPr>
                          <m:t>2</m:t>
                        </m:r>
                      </m:sup>
                    </m:sSup>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𝛾</m:t>
                        </m:r>
                      </m:e>
                      <m:sub>
                        <m:r>
                          <a:rPr kumimoji="1" lang="en-US" altLang="ja-JP" sz="1600" b="0" i="1">
                            <a:solidFill>
                              <a:schemeClr val="tx1"/>
                            </a:solidFill>
                            <a:effectLst/>
                            <a:latin typeface="Cambria Math" panose="02040503050406030204" pitchFamily="18" charset="0"/>
                            <a:ea typeface="+mn-ea"/>
                            <a:cs typeface="+mn-cs"/>
                          </a:rPr>
                          <m:t>4</m:t>
                        </m:r>
                      </m:sub>
                    </m:sSub>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sub>
                    </m:sSub>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𝛾</m:t>
                        </m:r>
                      </m:e>
                      <m:sub>
                        <m:r>
                          <a:rPr kumimoji="1" lang="en-US" altLang="ja-JP" sz="1600" b="0" i="1">
                            <a:solidFill>
                              <a:schemeClr val="tx1"/>
                            </a:solidFill>
                            <a:effectLst/>
                            <a:latin typeface="Cambria Math" panose="02040503050406030204" pitchFamily="18" charset="0"/>
                            <a:ea typeface="+mn-ea"/>
                            <a:cs typeface="+mn-cs"/>
                          </a:rPr>
                          <m:t>5</m:t>
                        </m:r>
                      </m:sub>
                    </m:sSub>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E4C9A873-9626-459C-A8A3-56FD74B122E8}"/>
                </a:ext>
              </a:extLst>
            </xdr:cNvPr>
            <xdr:cNvSpPr txBox="1"/>
          </xdr:nvSpPr>
          <xdr:spPr>
            <a:xfrm>
              <a:off x="6429375" y="1666875"/>
              <a:ext cx="3734997" cy="2880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𝐶_𝑊=</a:t>
              </a:r>
              <a:r>
                <a:rPr kumimoji="1" lang="ja-JP" altLang="en-US" sz="1600" b="0" i="0">
                  <a:latin typeface="Cambria Math" panose="02040503050406030204" pitchFamily="18" charset="0"/>
                </a:rPr>
                <a:t>𝛾</a:t>
              </a:r>
              <a:r>
                <a:rPr kumimoji="1" lang="en-US" altLang="ja-JP" sz="1600" b="0" i="0">
                  <a:latin typeface="Cambria Math" panose="02040503050406030204" pitchFamily="18" charset="0"/>
                </a:rPr>
                <a:t>_1 〖𝐶_𝑓〗^4+</a:t>
              </a:r>
              <a:r>
                <a:rPr kumimoji="1" lang="ja-JP" altLang="en-US" sz="1600" b="0" i="0">
                  <a:latin typeface="Cambria Math" panose="02040503050406030204" pitchFamily="18" charset="0"/>
                </a:rPr>
                <a:t>𝛾</a:t>
              </a:r>
              <a:r>
                <a:rPr kumimoji="1" lang="en-US" altLang="ja-JP" sz="1600" b="0" i="0">
                  <a:latin typeface="Cambria Math" panose="02040503050406030204" pitchFamily="18" charset="0"/>
                </a:rPr>
                <a:t>_2</a:t>
              </a:r>
              <a:r>
                <a:rPr kumimoji="1" lang="en-US" altLang="ja-JP" sz="1600" b="0" i="0">
                  <a:solidFill>
                    <a:schemeClr val="tx1"/>
                  </a:solidFill>
                  <a:effectLst/>
                  <a:latin typeface="Cambria Math" panose="02040503050406030204" pitchFamily="18" charset="0"/>
                  <a:ea typeface="+mn-ea"/>
                  <a:cs typeface="+mn-cs"/>
                </a:rPr>
                <a:t> 〖𝐶_𝑓〗^3+</a:t>
              </a:r>
              <a:r>
                <a:rPr kumimoji="1" lang="ja-JP" altLang="en-US" sz="1600" b="0" i="0">
                  <a:solidFill>
                    <a:schemeClr val="tx1"/>
                  </a:solidFill>
                  <a:effectLst/>
                  <a:latin typeface="Cambria Math" panose="02040503050406030204" pitchFamily="18" charset="0"/>
                  <a:ea typeface="+mn-ea"/>
                  <a:cs typeface="+mn-cs"/>
                </a:rPr>
                <a:t>𝛾</a:t>
              </a:r>
              <a:r>
                <a:rPr kumimoji="1" lang="en-US" altLang="ja-JP" sz="1600" b="0" i="0">
                  <a:solidFill>
                    <a:schemeClr val="tx1"/>
                  </a:solidFill>
                  <a:effectLst/>
                  <a:latin typeface="Cambria Math" panose="02040503050406030204" pitchFamily="18" charset="0"/>
                  <a:ea typeface="+mn-ea"/>
                  <a:cs typeface="+mn-cs"/>
                </a:rPr>
                <a:t>_3 〖𝐶_𝑓〗^2+</a:t>
              </a:r>
              <a:r>
                <a:rPr kumimoji="1" lang="ja-JP" altLang="en-US" sz="1600" b="0" i="0">
                  <a:solidFill>
                    <a:schemeClr val="tx1"/>
                  </a:solidFill>
                  <a:effectLst/>
                  <a:latin typeface="Cambria Math" panose="02040503050406030204" pitchFamily="18" charset="0"/>
                  <a:ea typeface="+mn-ea"/>
                  <a:cs typeface="+mn-cs"/>
                </a:rPr>
                <a:t>𝛾</a:t>
              </a:r>
              <a:r>
                <a:rPr kumimoji="1" lang="en-US" altLang="ja-JP" sz="1600" b="0" i="0">
                  <a:solidFill>
                    <a:schemeClr val="tx1"/>
                  </a:solidFill>
                  <a:effectLst/>
                  <a:latin typeface="Cambria Math" panose="02040503050406030204" pitchFamily="18" charset="0"/>
                  <a:ea typeface="+mn-ea"/>
                  <a:cs typeface="+mn-cs"/>
                </a:rPr>
                <a:t>_4 𝐶_𝑓+</a:t>
              </a:r>
              <a:r>
                <a:rPr kumimoji="1" lang="ja-JP" altLang="en-US" sz="1600" b="0" i="0">
                  <a:solidFill>
                    <a:schemeClr val="tx1"/>
                  </a:solidFill>
                  <a:effectLst/>
                  <a:latin typeface="Cambria Math" panose="02040503050406030204" pitchFamily="18" charset="0"/>
                  <a:ea typeface="+mn-ea"/>
                  <a:cs typeface="+mn-cs"/>
                </a:rPr>
                <a:t>𝛾</a:t>
              </a:r>
              <a:r>
                <a:rPr kumimoji="1" lang="en-US" altLang="ja-JP" sz="1600" b="0" i="0">
                  <a:solidFill>
                    <a:schemeClr val="tx1"/>
                  </a:solidFill>
                  <a:effectLst/>
                  <a:latin typeface="Cambria Math" panose="02040503050406030204" pitchFamily="18" charset="0"/>
                  <a:ea typeface="+mn-ea"/>
                  <a:cs typeface="+mn-cs"/>
                </a:rPr>
                <a:t>_5</a:t>
              </a:r>
              <a:endParaRPr kumimoji="1" lang="ja-JP" altLang="en-US" sz="1600" i="1"/>
            </a:p>
          </xdr:txBody>
        </xdr:sp>
      </mc:Fallback>
    </mc:AlternateContent>
    <xdr:clientData/>
  </xdr:oneCellAnchor>
  <xdr:twoCellAnchor>
    <xdr:from>
      <xdr:col>74</xdr:col>
      <xdr:colOff>0</xdr:colOff>
      <xdr:row>9</xdr:row>
      <xdr:rowOff>0</xdr:rowOff>
    </xdr:from>
    <xdr:to>
      <xdr:col>92</xdr:col>
      <xdr:colOff>0</xdr:colOff>
      <xdr:row>24</xdr:row>
      <xdr:rowOff>0</xdr:rowOff>
    </xdr:to>
    <xdr:graphicFrame macro="">
      <xdr:nvGraphicFramePr>
        <xdr:cNvPr id="5" name="グラフ 4">
          <a:extLst>
            <a:ext uri="{FF2B5EF4-FFF2-40B4-BE49-F238E27FC236}">
              <a16:creationId xmlns:a16="http://schemas.microsoft.com/office/drawing/2014/main" id="{368F00DC-B4F0-48AB-A8B4-02ABF5F68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60</xdr:col>
      <xdr:colOff>0</xdr:colOff>
      <xdr:row>7</xdr:row>
      <xdr:rowOff>0</xdr:rowOff>
    </xdr:from>
    <xdr:ext cx="1107676" cy="404341"/>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E69C55F6-B2A7-4B1A-B06D-41F57BF9B186}"/>
                </a:ext>
              </a:extLst>
            </xdr:cNvPr>
            <xdr:cNvSpPr txBox="1"/>
          </xdr:nvSpPr>
          <xdr:spPr>
            <a:xfrm>
              <a:off x="27879675" y="1762125"/>
              <a:ext cx="1107676" cy="4043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kumimoji="1" lang="en-US" altLang="ja-JP" sz="1800" i="1">
                          <a:latin typeface="Cambria Math" panose="02040503050406030204" pitchFamily="18" charset="0"/>
                        </a:rPr>
                      </m:ctrlPr>
                    </m:sSubPr>
                    <m:e>
                      <m:r>
                        <a:rPr kumimoji="1" lang="en-US" altLang="ja-JP" sz="1800" b="0" i="1">
                          <a:latin typeface="Cambria Math" panose="02040503050406030204" pitchFamily="18" charset="0"/>
                        </a:rPr>
                        <m:t>𝐶</m:t>
                      </m:r>
                    </m:e>
                    <m:sub>
                      <m:r>
                        <a:rPr kumimoji="1" lang="en-US" altLang="ja-JP" sz="1800" b="0" i="1">
                          <a:latin typeface="Cambria Math" panose="02040503050406030204" pitchFamily="18" charset="0"/>
                        </a:rPr>
                        <m:t>𝑓</m:t>
                      </m:r>
                    </m:sub>
                  </m:sSub>
                  <m:r>
                    <a:rPr kumimoji="1" lang="en-US" altLang="ja-JP" sz="1800" b="0" i="1">
                      <a:latin typeface="Cambria Math" panose="02040503050406030204" pitchFamily="18" charset="0"/>
                    </a:rPr>
                    <m:t>=</m:t>
                  </m:r>
                  <m:f>
                    <m:fPr>
                      <m:ctrlPr>
                        <a:rPr kumimoji="1" lang="en-US" altLang="ja-JP" sz="1800" b="0" i="1">
                          <a:latin typeface="Cambria Math" panose="02040503050406030204" pitchFamily="18" charset="0"/>
                        </a:rPr>
                      </m:ctrlPr>
                    </m:fPr>
                    <m:num>
                      <m:r>
                        <a:rPr kumimoji="1" lang="en-US" altLang="ja-JP" sz="1800" b="0" i="1">
                          <a:latin typeface="Cambria Math" panose="02040503050406030204" pitchFamily="18" charset="0"/>
                        </a:rPr>
                        <m:t>𝑚</m:t>
                      </m:r>
                    </m:num>
                    <m:den>
                      <m:r>
                        <a:rPr kumimoji="1" lang="ja-JP" altLang="en-US" sz="1800" b="0" i="1">
                          <a:latin typeface="Cambria Math" panose="02040503050406030204" pitchFamily="18" charset="0"/>
                        </a:rPr>
                        <m:t>𝜌</m:t>
                      </m:r>
                      <m:sSub>
                        <m:sSubPr>
                          <m:ctrlPr>
                            <a:rPr kumimoji="1" lang="en-US" altLang="ja-JP" sz="1800" b="0" i="1">
                              <a:latin typeface="Cambria Math" panose="02040503050406030204" pitchFamily="18" charset="0"/>
                            </a:rPr>
                          </m:ctrlPr>
                        </m:sSubPr>
                        <m:e>
                          <m:r>
                            <a:rPr kumimoji="1" lang="en-US" altLang="ja-JP" sz="1800" b="0" i="1">
                              <a:latin typeface="Cambria Math" panose="02040503050406030204" pitchFamily="18" charset="0"/>
                            </a:rPr>
                            <m:t>𝑁</m:t>
                          </m:r>
                        </m:e>
                        <m:sub>
                          <m:r>
                            <a:rPr kumimoji="1" lang="en-US" altLang="ja-JP" sz="1800" b="0" i="1">
                              <a:latin typeface="Cambria Math" panose="02040503050406030204" pitchFamily="18" charset="0"/>
                            </a:rPr>
                            <m:t>𝑟</m:t>
                          </m:r>
                        </m:sub>
                      </m:sSub>
                      <m:sSup>
                        <m:sSupPr>
                          <m:ctrlPr>
                            <a:rPr kumimoji="1" lang="en-US" altLang="ja-JP" sz="1800" b="0" i="1">
                              <a:latin typeface="Cambria Math" panose="02040503050406030204" pitchFamily="18" charset="0"/>
                            </a:rPr>
                          </m:ctrlPr>
                        </m:sSupPr>
                        <m:e>
                          <m:r>
                            <a:rPr kumimoji="1" lang="en-US" altLang="ja-JP" sz="1800" b="0" i="1">
                              <a:latin typeface="Cambria Math" panose="02040503050406030204" pitchFamily="18" charset="0"/>
                            </a:rPr>
                            <m:t>𝐷</m:t>
                          </m:r>
                        </m:e>
                        <m:sup>
                          <m:r>
                            <a:rPr kumimoji="1" lang="en-US" altLang="ja-JP" sz="1800" b="0" i="1">
                              <a:latin typeface="Cambria Math" panose="02040503050406030204" pitchFamily="18" charset="0"/>
                            </a:rPr>
                            <m:t>3</m:t>
                          </m:r>
                        </m:sup>
                      </m:sSup>
                    </m:den>
                  </m:f>
                </m:oMath>
              </a14:m>
              <a:r>
                <a:rPr kumimoji="1" lang="ja-JP" altLang="en-US" sz="1800"/>
                <a:t> </a:t>
              </a:r>
            </a:p>
          </xdr:txBody>
        </xdr:sp>
      </mc:Choice>
      <mc:Fallback xmlns="">
        <xdr:sp macro="" textlink="">
          <xdr:nvSpPr>
            <xdr:cNvPr id="6" name="テキスト ボックス 5">
              <a:extLst>
                <a:ext uri="{FF2B5EF4-FFF2-40B4-BE49-F238E27FC236}">
                  <a16:creationId xmlns:a16="http://schemas.microsoft.com/office/drawing/2014/main" id="{E69C55F6-B2A7-4B1A-B06D-41F57BF9B186}"/>
                </a:ext>
              </a:extLst>
            </xdr:cNvPr>
            <xdr:cNvSpPr txBox="1"/>
          </xdr:nvSpPr>
          <xdr:spPr>
            <a:xfrm>
              <a:off x="27879675" y="1762125"/>
              <a:ext cx="1107676" cy="4043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0" i="0">
                  <a:latin typeface="Cambria Math" panose="02040503050406030204" pitchFamily="18" charset="0"/>
                </a:rPr>
                <a:t>𝐶_𝑓=𝑚/(</a:t>
              </a:r>
              <a:r>
                <a:rPr kumimoji="1" lang="ja-JP" altLang="en-US" sz="1800" b="0" i="0">
                  <a:latin typeface="Cambria Math" panose="02040503050406030204" pitchFamily="18" charset="0"/>
                </a:rPr>
                <a:t>𝜌</a:t>
              </a:r>
              <a:r>
                <a:rPr kumimoji="1" lang="en-US" altLang="ja-JP" sz="1800" b="0" i="0">
                  <a:latin typeface="Cambria Math" panose="02040503050406030204" pitchFamily="18" charset="0"/>
                </a:rPr>
                <a:t>𝑁_𝑟 𝐷^3 )</a:t>
              </a:r>
              <a:r>
                <a:rPr kumimoji="1" lang="ja-JP" altLang="en-US" sz="1800"/>
                <a:t> </a:t>
              </a:r>
            </a:p>
          </xdr:txBody>
        </xdr:sp>
      </mc:Fallback>
    </mc:AlternateContent>
    <xdr:clientData/>
  </xdr:oneCellAnchor>
  <xdr:oneCellAnchor>
    <xdr:from>
      <xdr:col>57</xdr:col>
      <xdr:colOff>0</xdr:colOff>
      <xdr:row>7</xdr:row>
      <xdr:rowOff>0</xdr:rowOff>
    </xdr:from>
    <xdr:ext cx="1273875" cy="427040"/>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CCD8622-B287-4C3E-81D9-04D5D5F770FA}"/>
                </a:ext>
              </a:extLst>
            </xdr:cNvPr>
            <xdr:cNvSpPr txBox="1"/>
          </xdr:nvSpPr>
          <xdr:spPr>
            <a:xfrm>
              <a:off x="26317575" y="1762125"/>
              <a:ext cx="1273875" cy="4270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kumimoji="1" lang="en-US" altLang="ja-JP" sz="1800" i="1">
                          <a:latin typeface="Cambria Math" panose="02040503050406030204" pitchFamily="18" charset="0"/>
                        </a:rPr>
                      </m:ctrlPr>
                    </m:sSubPr>
                    <m:e>
                      <m:r>
                        <a:rPr kumimoji="1" lang="en-US" altLang="ja-JP" sz="1800" b="0" i="1">
                          <a:latin typeface="Cambria Math" panose="02040503050406030204" pitchFamily="18" charset="0"/>
                        </a:rPr>
                        <m:t>𝐶</m:t>
                      </m:r>
                    </m:e>
                    <m:sub>
                      <m:r>
                        <a:rPr kumimoji="1" lang="en-US" altLang="ja-JP" sz="1800" b="0" i="1">
                          <a:latin typeface="Cambria Math" panose="02040503050406030204" pitchFamily="18" charset="0"/>
                        </a:rPr>
                        <m:t>𝑊</m:t>
                      </m:r>
                    </m:sub>
                  </m:sSub>
                  <m:r>
                    <a:rPr kumimoji="1" lang="en-US" altLang="ja-JP" sz="1800" b="0" i="1">
                      <a:latin typeface="Cambria Math" panose="02040503050406030204" pitchFamily="18" charset="0"/>
                    </a:rPr>
                    <m:t>=</m:t>
                  </m:r>
                  <m:f>
                    <m:fPr>
                      <m:ctrlPr>
                        <a:rPr kumimoji="1" lang="en-US" altLang="ja-JP" sz="1800" b="0" i="1">
                          <a:latin typeface="Cambria Math" panose="02040503050406030204" pitchFamily="18" charset="0"/>
                        </a:rPr>
                      </m:ctrlPr>
                    </m:fPr>
                    <m:num>
                      <m:r>
                        <a:rPr kumimoji="1" lang="en-US" altLang="ja-JP" sz="1800" b="0" i="1">
                          <a:latin typeface="Cambria Math" panose="02040503050406030204" pitchFamily="18" charset="0"/>
                        </a:rPr>
                        <m:t>𝑊</m:t>
                      </m:r>
                    </m:num>
                    <m:den>
                      <m:r>
                        <a:rPr kumimoji="1" lang="ja-JP" altLang="en-US" sz="1800" b="0" i="1">
                          <a:latin typeface="Cambria Math" panose="02040503050406030204" pitchFamily="18" charset="0"/>
                        </a:rPr>
                        <m:t>𝜌</m:t>
                      </m:r>
                      <m:sSup>
                        <m:sSupPr>
                          <m:ctrlPr>
                            <a:rPr kumimoji="1" lang="en-US" altLang="ja-JP" sz="1800" b="0" i="1">
                              <a:latin typeface="Cambria Math" panose="02040503050406030204" pitchFamily="18" charset="0"/>
                            </a:rPr>
                          </m:ctrlPr>
                        </m:sSupPr>
                        <m:e>
                          <m:sSub>
                            <m:sSubPr>
                              <m:ctrlPr>
                                <a:rPr kumimoji="1" lang="en-US" altLang="ja-JP" sz="1800" b="0" i="1">
                                  <a:latin typeface="Cambria Math" panose="02040503050406030204" pitchFamily="18" charset="0"/>
                                </a:rPr>
                              </m:ctrlPr>
                            </m:sSubPr>
                            <m:e>
                              <m:r>
                                <a:rPr kumimoji="1" lang="en-US" altLang="ja-JP" sz="1800" b="0" i="1">
                                  <a:latin typeface="Cambria Math" panose="02040503050406030204" pitchFamily="18" charset="0"/>
                                </a:rPr>
                                <m:t>𝑁</m:t>
                              </m:r>
                            </m:e>
                            <m:sub>
                              <m:r>
                                <a:rPr kumimoji="1" lang="en-US" altLang="ja-JP" sz="1800" b="0" i="1">
                                  <a:latin typeface="Cambria Math" panose="02040503050406030204" pitchFamily="18" charset="0"/>
                                </a:rPr>
                                <m:t>𝑟</m:t>
                              </m:r>
                            </m:sub>
                          </m:sSub>
                        </m:e>
                        <m:sup>
                          <m:r>
                            <a:rPr kumimoji="1" lang="en-US" altLang="ja-JP" sz="1800" b="0" i="1">
                              <a:latin typeface="Cambria Math" panose="02040503050406030204" pitchFamily="18" charset="0"/>
                            </a:rPr>
                            <m:t>3</m:t>
                          </m:r>
                        </m:sup>
                      </m:sSup>
                      <m:sSup>
                        <m:sSupPr>
                          <m:ctrlPr>
                            <a:rPr kumimoji="1" lang="en-US" altLang="ja-JP" sz="1800" b="0" i="1">
                              <a:latin typeface="Cambria Math" panose="02040503050406030204" pitchFamily="18" charset="0"/>
                            </a:rPr>
                          </m:ctrlPr>
                        </m:sSupPr>
                        <m:e>
                          <m:r>
                            <a:rPr kumimoji="1" lang="en-US" altLang="ja-JP" sz="1800" b="0" i="1">
                              <a:latin typeface="Cambria Math" panose="02040503050406030204" pitchFamily="18" charset="0"/>
                            </a:rPr>
                            <m:t>𝐷</m:t>
                          </m:r>
                        </m:e>
                        <m:sup>
                          <m:r>
                            <a:rPr kumimoji="1" lang="en-US" altLang="ja-JP" sz="1800" b="0" i="1">
                              <a:latin typeface="Cambria Math" panose="02040503050406030204" pitchFamily="18" charset="0"/>
                            </a:rPr>
                            <m:t>5</m:t>
                          </m:r>
                        </m:sup>
                      </m:sSup>
                    </m:den>
                  </m:f>
                </m:oMath>
              </a14:m>
              <a:r>
                <a:rPr kumimoji="1" lang="ja-JP" altLang="en-US" sz="1800"/>
                <a:t> </a:t>
              </a:r>
            </a:p>
          </xdr:txBody>
        </xdr:sp>
      </mc:Choice>
      <mc:Fallback xmlns="">
        <xdr:sp macro="" textlink="">
          <xdr:nvSpPr>
            <xdr:cNvPr id="7" name="テキスト ボックス 6">
              <a:extLst>
                <a:ext uri="{FF2B5EF4-FFF2-40B4-BE49-F238E27FC236}">
                  <a16:creationId xmlns:a16="http://schemas.microsoft.com/office/drawing/2014/main" id="{0CCD8622-B287-4C3E-81D9-04D5D5F770FA}"/>
                </a:ext>
              </a:extLst>
            </xdr:cNvPr>
            <xdr:cNvSpPr txBox="1"/>
          </xdr:nvSpPr>
          <xdr:spPr>
            <a:xfrm>
              <a:off x="26317575" y="1762125"/>
              <a:ext cx="1273875" cy="4270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0" i="0">
                  <a:latin typeface="Cambria Math" panose="02040503050406030204" pitchFamily="18" charset="0"/>
                </a:rPr>
                <a:t>𝐶_𝑊=𝑊/(</a:t>
              </a:r>
              <a:r>
                <a:rPr kumimoji="1" lang="ja-JP" altLang="en-US" sz="1800" b="0" i="0">
                  <a:latin typeface="Cambria Math" panose="02040503050406030204" pitchFamily="18" charset="0"/>
                </a:rPr>
                <a:t>𝜌</a:t>
              </a:r>
              <a:r>
                <a:rPr kumimoji="1" lang="en-US" altLang="ja-JP" sz="1800" b="0" i="0">
                  <a:latin typeface="Cambria Math" panose="02040503050406030204" pitchFamily="18" charset="0"/>
                </a:rPr>
                <a:t>〖𝑁_𝑟〗^3 𝐷^5 )</a:t>
              </a:r>
              <a:r>
                <a:rPr kumimoji="1" lang="ja-JP" altLang="en-US" sz="1800"/>
                <a:t> </a:t>
              </a:r>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oneCellAnchor>
    <xdr:from>
      <xdr:col>23</xdr:col>
      <xdr:colOff>0</xdr:colOff>
      <xdr:row>6</xdr:row>
      <xdr:rowOff>0</xdr:rowOff>
    </xdr:from>
    <xdr:ext cx="6961265" cy="558230"/>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7A3F2BB0-3EF7-4193-8E4A-C596C22F747E}"/>
                </a:ext>
              </a:extLst>
            </xdr:cNvPr>
            <xdr:cNvSpPr txBox="1"/>
          </xdr:nvSpPr>
          <xdr:spPr>
            <a:xfrm>
              <a:off x="5915025" y="14287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𝑓</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𝑁</m:t>
                        </m:r>
                      </m:e>
                    </m:d>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e>
                    </m:d>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r>
                      <a:rPr kumimoji="1" lang="en-US" altLang="ja-JP" sz="1600" b="0" i="1">
                        <a:latin typeface="Cambria Math" panose="02040503050406030204" pitchFamily="18" charset="0"/>
                      </a:rPr>
                      <m:t>𝑁</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7A3F2BB0-3EF7-4193-8E4A-C596C22F747E}"/>
                </a:ext>
              </a:extLst>
            </xdr:cNvPr>
            <xdr:cNvSpPr txBox="1"/>
          </xdr:nvSpPr>
          <xdr:spPr>
            <a:xfrm>
              <a:off x="5915025" y="14287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𝑓(𝑁)=(</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𝑁^4+(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 𝑁^3+((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 ) 𝑁^2+(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 𝑁+(</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23</xdr:col>
      <xdr:colOff>28575</xdr:colOff>
      <xdr:row>9</xdr:row>
      <xdr:rowOff>9525</xdr:rowOff>
    </xdr:from>
    <xdr:ext cx="1103122" cy="494110"/>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A578799E-D492-4651-A0BD-3FAB40F63027}"/>
                </a:ext>
              </a:extLst>
            </xdr:cNvPr>
            <xdr:cNvSpPr txBox="1"/>
          </xdr:nvSpPr>
          <xdr:spPr>
            <a:xfrm>
              <a:off x="5943600" y="215265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4</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A578799E-D492-4651-A0BD-3FAB40F63027}"/>
                </a:ext>
              </a:extLst>
            </xdr:cNvPr>
            <xdr:cNvSpPr txBox="1"/>
          </xdr:nvSpPr>
          <xdr:spPr>
            <a:xfrm>
              <a:off x="5943600" y="215265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𝑎_4=(</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a:t>
              </a:r>
              <a:endParaRPr kumimoji="1" lang="ja-JP" altLang="en-US" sz="1600" i="1"/>
            </a:p>
          </xdr:txBody>
        </xdr:sp>
      </mc:Fallback>
    </mc:AlternateContent>
    <xdr:clientData/>
  </xdr:oneCellAnchor>
  <xdr:oneCellAnchor>
    <xdr:from>
      <xdr:col>25</xdr:col>
      <xdr:colOff>771525</xdr:colOff>
      <xdr:row>9</xdr:row>
      <xdr:rowOff>66675</xdr:rowOff>
    </xdr:from>
    <xdr:ext cx="1002389" cy="421719"/>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65F02A14-B65D-4C4F-9181-5FB9A538E96F}"/>
                </a:ext>
              </a:extLst>
            </xdr:cNvPr>
            <xdr:cNvSpPr txBox="1"/>
          </xdr:nvSpPr>
          <xdr:spPr>
            <a:xfrm>
              <a:off x="6686550" y="220980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65F02A14-B65D-4C4F-9181-5FB9A538E96F}"/>
                </a:ext>
              </a:extLst>
            </xdr:cNvPr>
            <xdr:cNvSpPr txBox="1"/>
          </xdr:nvSpPr>
          <xdr:spPr>
            <a:xfrm>
              <a:off x="6686550" y="220980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a:t>
              </a:r>
              <a:endParaRPr kumimoji="1" lang="ja-JP" altLang="en-US" sz="1600" i="1"/>
            </a:p>
          </xdr:txBody>
        </xdr:sp>
      </mc:Fallback>
    </mc:AlternateContent>
    <xdr:clientData/>
  </xdr:oneCellAnchor>
  <xdr:oneCellAnchor>
    <xdr:from>
      <xdr:col>26</xdr:col>
      <xdr:colOff>1046741</xdr:colOff>
      <xdr:row>9</xdr:row>
      <xdr:rowOff>0</xdr:rowOff>
    </xdr:from>
    <xdr:ext cx="1746760" cy="53578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E0F98D42-3614-43A1-BD26-A047B5ED4F04}"/>
                </a:ext>
              </a:extLst>
            </xdr:cNvPr>
            <xdr:cNvSpPr txBox="1"/>
          </xdr:nvSpPr>
          <xdr:spPr>
            <a:xfrm>
              <a:off x="6942716" y="214312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E0F98D42-3614-43A1-BD26-A047B5ED4F04}"/>
                </a:ext>
              </a:extLst>
            </xdr:cNvPr>
            <xdr:cNvSpPr txBox="1"/>
          </xdr:nvSpPr>
          <xdr:spPr>
            <a:xfrm>
              <a:off x="6942716" y="214312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a:t>
              </a:r>
              <a:endParaRPr kumimoji="1" lang="ja-JP" altLang="en-US" sz="1600" i="1"/>
            </a:p>
          </xdr:txBody>
        </xdr:sp>
      </mc:Fallback>
    </mc:AlternateContent>
    <xdr:clientData/>
  </xdr:oneCellAnchor>
  <xdr:oneCellAnchor>
    <xdr:from>
      <xdr:col>23</xdr:col>
      <xdr:colOff>0</xdr:colOff>
      <xdr:row>11</xdr:row>
      <xdr:rowOff>0</xdr:rowOff>
    </xdr:from>
    <xdr:ext cx="1299779" cy="535788"/>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3AFA5783-7590-49EF-83D0-C13E5A3094D9}"/>
                </a:ext>
              </a:extLst>
            </xdr:cNvPr>
            <xdr:cNvSpPr txBox="1"/>
          </xdr:nvSpPr>
          <xdr:spPr>
            <a:xfrm>
              <a:off x="5915025" y="261937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3AFA5783-7590-49EF-83D0-C13E5A3094D9}"/>
                </a:ext>
              </a:extLst>
            </xdr:cNvPr>
            <xdr:cNvSpPr txBox="1"/>
          </xdr:nvSpPr>
          <xdr:spPr>
            <a:xfrm>
              <a:off x="5915025" y="261937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𝑎_1=(</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a:t>
              </a:r>
              <a:endParaRPr kumimoji="1" lang="ja-JP" altLang="en-US" sz="1600" i="1"/>
            </a:p>
          </xdr:txBody>
        </xdr:sp>
      </mc:Fallback>
    </mc:AlternateContent>
    <xdr:clientData/>
  </xdr:oneCellAnchor>
  <xdr:oneCellAnchor>
    <xdr:from>
      <xdr:col>26</xdr:col>
      <xdr:colOff>0</xdr:colOff>
      <xdr:row>11</xdr:row>
      <xdr:rowOff>0</xdr:rowOff>
    </xdr:from>
    <xdr:ext cx="1386855" cy="534762"/>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B4779FE2-7883-4BD5-8101-6909E167F01F}"/>
                </a:ext>
              </a:extLst>
            </xdr:cNvPr>
            <xdr:cNvSpPr txBox="1"/>
          </xdr:nvSpPr>
          <xdr:spPr>
            <a:xfrm>
              <a:off x="6686550" y="261937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B4779FE2-7883-4BD5-8101-6909E167F01F}"/>
                </a:ext>
              </a:extLst>
            </xdr:cNvPr>
            <xdr:cNvSpPr txBox="1"/>
          </xdr:nvSpPr>
          <xdr:spPr>
            <a:xfrm>
              <a:off x="6686550" y="261937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𝑎_0=(</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15</xdr:col>
      <xdr:colOff>0</xdr:colOff>
      <xdr:row>6</xdr:row>
      <xdr:rowOff>0</xdr:rowOff>
    </xdr:from>
    <xdr:ext cx="1212640" cy="463397"/>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E1E250AD-F6D9-4381-BD0B-2EE930C27395}"/>
                </a:ext>
              </a:extLst>
            </xdr:cNvPr>
            <xdr:cNvSpPr txBox="1"/>
          </xdr:nvSpPr>
          <xdr:spPr>
            <a:xfrm>
              <a:off x="3857625" y="14287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𝑟</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8" name="テキスト ボックス 7">
              <a:extLst>
                <a:ext uri="{FF2B5EF4-FFF2-40B4-BE49-F238E27FC236}">
                  <a16:creationId xmlns:a16="http://schemas.microsoft.com/office/drawing/2014/main" id="{E1E250AD-F6D9-4381-BD0B-2EE930C27395}"/>
                </a:ext>
              </a:extLst>
            </xdr:cNvPr>
            <xdr:cNvSpPr txBox="1"/>
          </xdr:nvSpPr>
          <xdr:spPr>
            <a:xfrm>
              <a:off x="3857625" y="14287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𝑁_𝑟 𝐷^3 )</a:t>
              </a:r>
              <a:endParaRPr kumimoji="1" lang="ja-JP" altLang="en-US" sz="1600" i="1"/>
            </a:p>
          </xdr:txBody>
        </xdr:sp>
      </mc:Fallback>
    </mc:AlternateContent>
    <xdr:clientData/>
  </xdr:oneCellAnchor>
  <xdr:oneCellAnchor>
    <xdr:from>
      <xdr:col>15</xdr:col>
      <xdr:colOff>0</xdr:colOff>
      <xdr:row>18</xdr:row>
      <xdr:rowOff>0</xdr:rowOff>
    </xdr:from>
    <xdr:ext cx="1997983" cy="266355"/>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1A3B748A-A428-420D-9FA5-B596C1E37806}"/>
                </a:ext>
              </a:extLst>
            </xdr:cNvPr>
            <xdr:cNvSpPr txBox="1"/>
          </xdr:nvSpPr>
          <xdr:spPr>
            <a:xfrm>
              <a:off x="90487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oMath>
                </m:oMathPara>
              </a14:m>
              <a:endParaRPr kumimoji="1" lang="ja-JP" altLang="en-US" sz="1600" i="1"/>
            </a:p>
          </xdr:txBody>
        </xdr:sp>
      </mc:Choice>
      <mc:Fallback xmlns="">
        <xdr:sp macro="" textlink="">
          <xdr:nvSpPr>
            <xdr:cNvPr id="9" name="テキスト ボックス 8">
              <a:extLst>
                <a:ext uri="{FF2B5EF4-FFF2-40B4-BE49-F238E27FC236}">
                  <a16:creationId xmlns:a16="http://schemas.microsoft.com/office/drawing/2014/main" id="{1A3B748A-A428-420D-9FA5-B596C1E37806}"/>
                </a:ext>
              </a:extLst>
            </xdr:cNvPr>
            <xdr:cNvSpPr txBox="1"/>
          </xdr:nvSpPr>
          <xdr:spPr>
            <a:xfrm>
              <a:off x="90487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𝐶_(𝑓,𝑚𝑎𝑥)=𝐶_(𝑓,𝑚𝑎𝑥,𝑠𝑎𝑚𝑝𝑙𝑒)</a:t>
              </a:r>
              <a:endParaRPr kumimoji="1" lang="ja-JP" altLang="en-US" sz="1600" i="1"/>
            </a:p>
          </xdr:txBody>
        </xdr:sp>
      </mc:Fallback>
    </mc:AlternateContent>
    <xdr:clientData/>
  </xdr:oneCellAnchor>
  <xdr:oneCellAnchor>
    <xdr:from>
      <xdr:col>15</xdr:col>
      <xdr:colOff>0</xdr:colOff>
      <xdr:row>11</xdr:row>
      <xdr:rowOff>0</xdr:rowOff>
    </xdr:from>
    <xdr:ext cx="4225387" cy="786113"/>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A2869835-DB01-4C51-B7BF-2CE1414EE774}"/>
                </a:ext>
              </a:extLst>
            </xdr:cNvPr>
            <xdr:cNvSpPr txBox="1"/>
          </xdr:nvSpPr>
          <xdr:spPr>
            <a:xfrm>
              <a:off x="90487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d>
                      <m:dPr>
                        <m:begChr m:val="{"/>
                        <m:endChr m:val=""/>
                        <m:ctrlPr>
                          <a:rPr kumimoji="1" lang="en-US" altLang="ja-JP" sz="1600" b="0" i="1">
                            <a:latin typeface="Cambria Math" panose="02040503050406030204" pitchFamily="18" charset="0"/>
                          </a:rPr>
                        </m:ctrlPr>
                      </m:dPr>
                      <m:e>
                        <m:eqArr>
                          <m:eqArrPr>
                            <m:ctrlPr>
                              <a:rPr kumimoji="1" lang="en-US" altLang="ja-JP" sz="1600" b="0" i="1">
                                <a:latin typeface="Cambria Math" panose="02040503050406030204" pitchFamily="18" charset="0"/>
                              </a:rPr>
                            </m:ctrlPr>
                          </m:eqArr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　　</m:t>
                            </m:r>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極大値がある場合</m:t>
                            </m:r>
                          </m:e>
                          <m:e>
                            <m:r>
                              <a:rPr kumimoji="1" lang="en-US" altLang="ja-JP" sz="1600" b="0" i="1">
                                <a:latin typeface="Cambria Math" panose="02040503050406030204" pitchFamily="18" charset="0"/>
                              </a:rPr>
                              <m:t>&amp;</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𝑚𝑖𝑛</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極大値がない場合</m:t>
                            </m:r>
                          </m:e>
                        </m:eqArr>
                      </m:e>
                    </m:d>
                  </m:oMath>
                </m:oMathPara>
              </a14:m>
              <a:endParaRPr kumimoji="1" lang="ja-JP" altLang="en-US" sz="1600" i="1"/>
            </a:p>
          </xdr:txBody>
        </xdr:sp>
      </mc:Choice>
      <mc:Fallback xmlns="">
        <xdr:sp macro="" textlink="">
          <xdr:nvSpPr>
            <xdr:cNvPr id="10" name="テキスト ボックス 9">
              <a:extLst>
                <a:ext uri="{FF2B5EF4-FFF2-40B4-BE49-F238E27FC236}">
                  <a16:creationId xmlns:a16="http://schemas.microsoft.com/office/drawing/2014/main" id="{A2869835-DB01-4C51-B7BF-2CE1414EE774}"/>
                </a:ext>
              </a:extLst>
            </xdr:cNvPr>
            <xdr:cNvSpPr txBox="1"/>
          </xdr:nvSpPr>
          <xdr:spPr>
            <a:xfrm>
              <a:off x="90487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𝐶_(𝑓,𝑚𝑎𝑥)={█(𝐶_(𝑓,𝑝),  </a:t>
              </a:r>
              <a:r>
                <a:rPr kumimoji="1" lang="ja-JP" altLang="en-US" sz="1600" b="0" i="0">
                  <a:latin typeface="Cambria Math" panose="02040503050406030204" pitchFamily="18" charset="0"/>
                </a:rPr>
                <a:t>　　</a:t>
              </a:r>
              <a:r>
                <a:rPr kumimoji="1" lang="en-US" altLang="ja-JP" sz="1600" b="0" i="0">
                  <a:latin typeface="Cambria Math" panose="02040503050406030204" pitchFamily="18" charset="0"/>
                </a:rPr>
                <a:t>        </a:t>
              </a:r>
              <a:r>
                <a:rPr kumimoji="1" lang="ja-JP" altLang="en-US" sz="1600" b="0" i="0">
                  <a:latin typeface="Cambria Math" panose="02040503050406030204" pitchFamily="18" charset="0"/>
                </a:rPr>
                <a:t>極大値がある場合@</a:t>
              </a:r>
              <a:r>
                <a:rPr kumimoji="1" lang="en-US" altLang="ja-JP" sz="1600" b="0" i="0">
                  <a:latin typeface="Cambria Math" panose="02040503050406030204" pitchFamily="18" charset="0"/>
                </a:rPr>
                <a:t>&amp;𝐶_(𝑓,𝑚𝑖𝑛,𝑠𝑎𝑚𝑝𝑙𝑒),  </a:t>
              </a:r>
              <a:r>
                <a:rPr kumimoji="1" lang="ja-JP" altLang="en-US" sz="1600" b="0" i="0">
                  <a:latin typeface="Cambria Math" panose="02040503050406030204" pitchFamily="18" charset="0"/>
                </a:rPr>
                <a:t>極大値がない場合)┤</a:t>
              </a:r>
              <a:endParaRPr kumimoji="1" lang="ja-JP" altLang="en-US" sz="1600" i="1"/>
            </a:p>
          </xdr:txBody>
        </xdr:sp>
      </mc:Fallback>
    </mc:AlternateContent>
    <xdr:clientData/>
  </xdr:oneCellAnchor>
  <xdr:twoCellAnchor>
    <xdr:from>
      <xdr:col>29</xdr:col>
      <xdr:colOff>0</xdr:colOff>
      <xdr:row>14</xdr:row>
      <xdr:rowOff>0</xdr:rowOff>
    </xdr:from>
    <xdr:to>
      <xdr:col>41</xdr:col>
      <xdr:colOff>0</xdr:colOff>
      <xdr:row>24</xdr:row>
      <xdr:rowOff>257174</xdr:rowOff>
    </xdr:to>
    <xdr:graphicFrame macro="">
      <xdr:nvGraphicFramePr>
        <xdr:cNvPr id="12" name="グラフ 11">
          <a:extLst>
            <a:ext uri="{FF2B5EF4-FFF2-40B4-BE49-F238E27FC236}">
              <a16:creationId xmlns:a16="http://schemas.microsoft.com/office/drawing/2014/main" id="{BC11ECE5-636B-4852-A1E2-A08FAF5C9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0</xdr:rowOff>
    </xdr:from>
    <xdr:to>
      <xdr:col>41</xdr:col>
      <xdr:colOff>0</xdr:colOff>
      <xdr:row>36</xdr:row>
      <xdr:rowOff>257174</xdr:rowOff>
    </xdr:to>
    <xdr:graphicFrame macro="">
      <xdr:nvGraphicFramePr>
        <xdr:cNvPr id="13" name="グラフ 12">
          <a:extLst>
            <a:ext uri="{FF2B5EF4-FFF2-40B4-BE49-F238E27FC236}">
              <a16:creationId xmlns:a16="http://schemas.microsoft.com/office/drawing/2014/main" id="{53931033-12EA-D060-A17B-727A08FED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23</xdr:col>
      <xdr:colOff>0</xdr:colOff>
      <xdr:row>6</xdr:row>
      <xdr:rowOff>0</xdr:rowOff>
    </xdr:from>
    <xdr:ext cx="6961265" cy="558230"/>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4385E85D-B99C-433E-8BEC-1F2B912A846D}"/>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𝑓</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𝑁</m:t>
                        </m:r>
                      </m:e>
                    </m:d>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e>
                    </m:d>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r>
                      <a:rPr kumimoji="1" lang="en-US" altLang="ja-JP" sz="1600" b="0" i="1">
                        <a:latin typeface="Cambria Math" panose="02040503050406030204" pitchFamily="18" charset="0"/>
                      </a:rPr>
                      <m:t>𝑁</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4385E85D-B99C-433E-8BEC-1F2B912A846D}"/>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𝑓(𝑁)=(</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𝑁^4+(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 𝑁^3+((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 ) 𝑁^2+(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 𝑁+(</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23</xdr:col>
      <xdr:colOff>28575</xdr:colOff>
      <xdr:row>9</xdr:row>
      <xdr:rowOff>9525</xdr:rowOff>
    </xdr:from>
    <xdr:ext cx="1103122" cy="494110"/>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75D3FF9A-390B-4880-A930-74F6E210C83D}"/>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4</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75D3FF9A-390B-4880-A930-74F6E210C83D}"/>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𝑎_4=(</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a:t>
              </a:r>
              <a:endParaRPr kumimoji="1" lang="ja-JP" altLang="en-US" sz="1600" i="1"/>
            </a:p>
          </xdr:txBody>
        </xdr:sp>
      </mc:Fallback>
    </mc:AlternateContent>
    <xdr:clientData/>
  </xdr:oneCellAnchor>
  <xdr:oneCellAnchor>
    <xdr:from>
      <xdr:col>25</xdr:col>
      <xdr:colOff>771525</xdr:colOff>
      <xdr:row>9</xdr:row>
      <xdr:rowOff>66675</xdr:rowOff>
    </xdr:from>
    <xdr:ext cx="1002389" cy="421719"/>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27990A2C-72FB-4DFF-B8A4-B5526C323266}"/>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27990A2C-72FB-4DFF-B8A4-B5526C323266}"/>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a:t>
              </a:r>
              <a:endParaRPr kumimoji="1" lang="ja-JP" altLang="en-US" sz="1600" i="1"/>
            </a:p>
          </xdr:txBody>
        </xdr:sp>
      </mc:Fallback>
    </mc:AlternateContent>
    <xdr:clientData/>
  </xdr:oneCellAnchor>
  <xdr:oneCellAnchor>
    <xdr:from>
      <xdr:col>26</xdr:col>
      <xdr:colOff>1046741</xdr:colOff>
      <xdr:row>9</xdr:row>
      <xdr:rowOff>0</xdr:rowOff>
    </xdr:from>
    <xdr:ext cx="1746760" cy="53578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FE303C0A-0CDA-4D6F-A63C-1A82E1384A2D}"/>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FE303C0A-0CDA-4D6F-A63C-1A82E1384A2D}"/>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a:t>
              </a:r>
              <a:endParaRPr kumimoji="1" lang="ja-JP" altLang="en-US" sz="1600" i="1"/>
            </a:p>
          </xdr:txBody>
        </xdr:sp>
      </mc:Fallback>
    </mc:AlternateContent>
    <xdr:clientData/>
  </xdr:oneCellAnchor>
  <xdr:oneCellAnchor>
    <xdr:from>
      <xdr:col>23</xdr:col>
      <xdr:colOff>0</xdr:colOff>
      <xdr:row>11</xdr:row>
      <xdr:rowOff>0</xdr:rowOff>
    </xdr:from>
    <xdr:ext cx="1299779" cy="535788"/>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21D977E5-3FFE-40F9-8FF5-A710B7B3884B}"/>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21D977E5-3FFE-40F9-8FF5-A710B7B3884B}"/>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𝑎_1=(</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a:t>
              </a:r>
              <a:endParaRPr kumimoji="1" lang="ja-JP" altLang="en-US" sz="1600" i="1"/>
            </a:p>
          </xdr:txBody>
        </xdr:sp>
      </mc:Fallback>
    </mc:AlternateContent>
    <xdr:clientData/>
  </xdr:oneCellAnchor>
  <xdr:oneCellAnchor>
    <xdr:from>
      <xdr:col>26</xdr:col>
      <xdr:colOff>0</xdr:colOff>
      <xdr:row>11</xdr:row>
      <xdr:rowOff>0</xdr:rowOff>
    </xdr:from>
    <xdr:ext cx="1386855" cy="534762"/>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579E44F2-47F6-4299-AE09-6D5F3F803109}"/>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579E44F2-47F6-4299-AE09-6D5F3F803109}"/>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𝑎_0=(</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15</xdr:col>
      <xdr:colOff>0</xdr:colOff>
      <xdr:row>6</xdr:row>
      <xdr:rowOff>0</xdr:rowOff>
    </xdr:from>
    <xdr:ext cx="1212640" cy="463397"/>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3387E2D5-114C-4164-888B-8942D087EF76}"/>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𝑟</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8" name="テキスト ボックス 7">
              <a:extLst>
                <a:ext uri="{FF2B5EF4-FFF2-40B4-BE49-F238E27FC236}">
                  <a16:creationId xmlns:a16="http://schemas.microsoft.com/office/drawing/2014/main" id="{3387E2D5-114C-4164-888B-8942D087EF76}"/>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𝑁_𝑟 𝐷^3 )</a:t>
              </a:r>
              <a:endParaRPr kumimoji="1" lang="ja-JP" altLang="en-US" sz="1600" i="1"/>
            </a:p>
          </xdr:txBody>
        </xdr:sp>
      </mc:Fallback>
    </mc:AlternateContent>
    <xdr:clientData/>
  </xdr:oneCellAnchor>
  <xdr:oneCellAnchor>
    <xdr:from>
      <xdr:col>15</xdr:col>
      <xdr:colOff>0</xdr:colOff>
      <xdr:row>18</xdr:row>
      <xdr:rowOff>0</xdr:rowOff>
    </xdr:from>
    <xdr:ext cx="1997983" cy="266355"/>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93D84A87-DA1D-4E6C-90C5-78273E59AB56}"/>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oMath>
                </m:oMathPara>
              </a14:m>
              <a:endParaRPr kumimoji="1" lang="ja-JP" altLang="en-US" sz="1600" i="1"/>
            </a:p>
          </xdr:txBody>
        </xdr:sp>
      </mc:Choice>
      <mc:Fallback xmlns="">
        <xdr:sp macro="" textlink="">
          <xdr:nvSpPr>
            <xdr:cNvPr id="9" name="テキスト ボックス 8">
              <a:extLst>
                <a:ext uri="{FF2B5EF4-FFF2-40B4-BE49-F238E27FC236}">
                  <a16:creationId xmlns:a16="http://schemas.microsoft.com/office/drawing/2014/main" id="{93D84A87-DA1D-4E6C-90C5-78273E59AB56}"/>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𝐶_(𝑓,𝑚𝑎𝑥)=𝐶_(𝑓,𝑚𝑎𝑥,𝑠𝑎𝑚𝑝𝑙𝑒)</a:t>
              </a:r>
              <a:endParaRPr kumimoji="1" lang="ja-JP" altLang="en-US" sz="1600" i="1"/>
            </a:p>
          </xdr:txBody>
        </xdr:sp>
      </mc:Fallback>
    </mc:AlternateContent>
    <xdr:clientData/>
  </xdr:oneCellAnchor>
  <xdr:oneCellAnchor>
    <xdr:from>
      <xdr:col>15</xdr:col>
      <xdr:colOff>0</xdr:colOff>
      <xdr:row>11</xdr:row>
      <xdr:rowOff>0</xdr:rowOff>
    </xdr:from>
    <xdr:ext cx="4225387" cy="786113"/>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66A9B7EF-AF6B-4DB9-A107-BCDB49F9016A}"/>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d>
                      <m:dPr>
                        <m:begChr m:val="{"/>
                        <m:endChr m:val=""/>
                        <m:ctrlPr>
                          <a:rPr kumimoji="1" lang="en-US" altLang="ja-JP" sz="1600" b="0" i="1">
                            <a:latin typeface="Cambria Math" panose="02040503050406030204" pitchFamily="18" charset="0"/>
                          </a:rPr>
                        </m:ctrlPr>
                      </m:dPr>
                      <m:e>
                        <m:eqArr>
                          <m:eqArrPr>
                            <m:ctrlPr>
                              <a:rPr kumimoji="1" lang="en-US" altLang="ja-JP" sz="1600" b="0" i="1">
                                <a:latin typeface="Cambria Math" panose="02040503050406030204" pitchFamily="18" charset="0"/>
                              </a:rPr>
                            </m:ctrlPr>
                          </m:eqArr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　　</m:t>
                            </m:r>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極大値がある場合</m:t>
                            </m:r>
                          </m:e>
                          <m:e>
                            <m:r>
                              <a:rPr kumimoji="1" lang="en-US" altLang="ja-JP" sz="1600" b="0" i="1">
                                <a:latin typeface="Cambria Math" panose="02040503050406030204" pitchFamily="18" charset="0"/>
                              </a:rPr>
                              <m:t>&amp;</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𝑚𝑖𝑛</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極大値がない場合</m:t>
                            </m:r>
                          </m:e>
                        </m:eqArr>
                      </m:e>
                    </m:d>
                  </m:oMath>
                </m:oMathPara>
              </a14:m>
              <a:endParaRPr kumimoji="1" lang="ja-JP" altLang="en-US" sz="1600" i="1"/>
            </a:p>
          </xdr:txBody>
        </xdr:sp>
      </mc:Choice>
      <mc:Fallback xmlns="">
        <xdr:sp macro="" textlink="">
          <xdr:nvSpPr>
            <xdr:cNvPr id="10" name="テキスト ボックス 9">
              <a:extLst>
                <a:ext uri="{FF2B5EF4-FFF2-40B4-BE49-F238E27FC236}">
                  <a16:creationId xmlns:a16="http://schemas.microsoft.com/office/drawing/2014/main" id="{66A9B7EF-AF6B-4DB9-A107-BCDB49F9016A}"/>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𝐶_(𝑓,𝑚𝑎𝑥)={█(𝐶_(𝑓,𝑝),  </a:t>
              </a:r>
              <a:r>
                <a:rPr kumimoji="1" lang="ja-JP" altLang="en-US" sz="1600" b="0" i="0">
                  <a:latin typeface="Cambria Math" panose="02040503050406030204" pitchFamily="18" charset="0"/>
                </a:rPr>
                <a:t>　　</a:t>
              </a:r>
              <a:r>
                <a:rPr kumimoji="1" lang="en-US" altLang="ja-JP" sz="1600" b="0" i="0">
                  <a:latin typeface="Cambria Math" panose="02040503050406030204" pitchFamily="18" charset="0"/>
                </a:rPr>
                <a:t>        </a:t>
              </a:r>
              <a:r>
                <a:rPr kumimoji="1" lang="ja-JP" altLang="en-US" sz="1600" b="0" i="0">
                  <a:latin typeface="Cambria Math" panose="02040503050406030204" pitchFamily="18" charset="0"/>
                </a:rPr>
                <a:t>極大値がある場合@</a:t>
              </a:r>
              <a:r>
                <a:rPr kumimoji="1" lang="en-US" altLang="ja-JP" sz="1600" b="0" i="0">
                  <a:latin typeface="Cambria Math" panose="02040503050406030204" pitchFamily="18" charset="0"/>
                </a:rPr>
                <a:t>&amp;𝐶_(𝑓,𝑚𝑖𝑛,𝑠𝑎𝑚𝑝𝑙𝑒),  </a:t>
              </a:r>
              <a:r>
                <a:rPr kumimoji="1" lang="ja-JP" altLang="en-US" sz="1600" b="0" i="0">
                  <a:latin typeface="Cambria Math" panose="02040503050406030204" pitchFamily="18" charset="0"/>
                </a:rPr>
                <a:t>極大値がない場合)┤</a:t>
              </a:r>
              <a:endParaRPr kumimoji="1" lang="ja-JP" altLang="en-US" sz="1600" i="1"/>
            </a:p>
          </xdr:txBody>
        </xdr:sp>
      </mc:Fallback>
    </mc:AlternateContent>
    <xdr:clientData/>
  </xdr:oneCellAnchor>
  <xdr:twoCellAnchor>
    <xdr:from>
      <xdr:col>29</xdr:col>
      <xdr:colOff>0</xdr:colOff>
      <xdr:row>14</xdr:row>
      <xdr:rowOff>0</xdr:rowOff>
    </xdr:from>
    <xdr:to>
      <xdr:col>41</xdr:col>
      <xdr:colOff>0</xdr:colOff>
      <xdr:row>24</xdr:row>
      <xdr:rowOff>257174</xdr:rowOff>
    </xdr:to>
    <xdr:graphicFrame macro="">
      <xdr:nvGraphicFramePr>
        <xdr:cNvPr id="11" name="グラフ 10">
          <a:extLst>
            <a:ext uri="{FF2B5EF4-FFF2-40B4-BE49-F238E27FC236}">
              <a16:creationId xmlns:a16="http://schemas.microsoft.com/office/drawing/2014/main" id="{EE9A6970-3C4A-4FAB-8602-6B6938D90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0</xdr:rowOff>
    </xdr:from>
    <xdr:to>
      <xdr:col>41</xdr:col>
      <xdr:colOff>0</xdr:colOff>
      <xdr:row>36</xdr:row>
      <xdr:rowOff>257174</xdr:rowOff>
    </xdr:to>
    <xdr:graphicFrame macro="">
      <xdr:nvGraphicFramePr>
        <xdr:cNvPr id="12" name="グラフ 11">
          <a:extLst>
            <a:ext uri="{FF2B5EF4-FFF2-40B4-BE49-F238E27FC236}">
              <a16:creationId xmlns:a16="http://schemas.microsoft.com/office/drawing/2014/main" id="{12CB937D-C342-434E-807F-E0587C6E9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23</xdr:col>
      <xdr:colOff>0</xdr:colOff>
      <xdr:row>6</xdr:row>
      <xdr:rowOff>0</xdr:rowOff>
    </xdr:from>
    <xdr:ext cx="6961265" cy="558230"/>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DEDC56F7-1361-4852-9CE0-88DA352E78A6}"/>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𝑓</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𝑁</m:t>
                        </m:r>
                      </m:e>
                    </m:d>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e>
                    </m:d>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r>
                      <a:rPr kumimoji="1" lang="en-US" altLang="ja-JP" sz="1600" b="0" i="1">
                        <a:latin typeface="Cambria Math" panose="02040503050406030204" pitchFamily="18" charset="0"/>
                      </a:rPr>
                      <m:t>𝑁</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DEDC56F7-1361-4852-9CE0-88DA352E78A6}"/>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𝑓(𝑁)=(</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𝑁^4+(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 𝑁^3+((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 ) 𝑁^2+(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 𝑁+(</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23</xdr:col>
      <xdr:colOff>28575</xdr:colOff>
      <xdr:row>9</xdr:row>
      <xdr:rowOff>9525</xdr:rowOff>
    </xdr:from>
    <xdr:ext cx="1103122" cy="494110"/>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8AADBFCC-75B1-4AF7-8CD4-E78629262025}"/>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4</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8AADBFCC-75B1-4AF7-8CD4-E78629262025}"/>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𝑎_4=(</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a:t>
              </a:r>
              <a:endParaRPr kumimoji="1" lang="ja-JP" altLang="en-US" sz="1600" i="1"/>
            </a:p>
          </xdr:txBody>
        </xdr:sp>
      </mc:Fallback>
    </mc:AlternateContent>
    <xdr:clientData/>
  </xdr:oneCellAnchor>
  <xdr:oneCellAnchor>
    <xdr:from>
      <xdr:col>25</xdr:col>
      <xdr:colOff>771525</xdr:colOff>
      <xdr:row>9</xdr:row>
      <xdr:rowOff>66675</xdr:rowOff>
    </xdr:from>
    <xdr:ext cx="1002389" cy="421719"/>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3B4C7D8B-5646-440F-A0DF-807BE5F9B282}"/>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3B4C7D8B-5646-440F-A0DF-807BE5F9B282}"/>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a:t>
              </a:r>
              <a:endParaRPr kumimoji="1" lang="ja-JP" altLang="en-US" sz="1600" i="1"/>
            </a:p>
          </xdr:txBody>
        </xdr:sp>
      </mc:Fallback>
    </mc:AlternateContent>
    <xdr:clientData/>
  </xdr:oneCellAnchor>
  <xdr:oneCellAnchor>
    <xdr:from>
      <xdr:col>26</xdr:col>
      <xdr:colOff>1046741</xdr:colOff>
      <xdr:row>9</xdr:row>
      <xdr:rowOff>0</xdr:rowOff>
    </xdr:from>
    <xdr:ext cx="1746760" cy="53578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831FF489-D122-4C9A-B23C-3C58903C90DF}"/>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831FF489-D122-4C9A-B23C-3C58903C90DF}"/>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a:t>
              </a:r>
              <a:endParaRPr kumimoji="1" lang="ja-JP" altLang="en-US" sz="1600" i="1"/>
            </a:p>
          </xdr:txBody>
        </xdr:sp>
      </mc:Fallback>
    </mc:AlternateContent>
    <xdr:clientData/>
  </xdr:oneCellAnchor>
  <xdr:oneCellAnchor>
    <xdr:from>
      <xdr:col>23</xdr:col>
      <xdr:colOff>0</xdr:colOff>
      <xdr:row>11</xdr:row>
      <xdr:rowOff>0</xdr:rowOff>
    </xdr:from>
    <xdr:ext cx="1299779" cy="535788"/>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5B8F824D-81E8-4BB6-B148-AAACA9929008}"/>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5B8F824D-81E8-4BB6-B148-AAACA9929008}"/>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𝑎_1=(</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a:t>
              </a:r>
              <a:endParaRPr kumimoji="1" lang="ja-JP" altLang="en-US" sz="1600" i="1"/>
            </a:p>
          </xdr:txBody>
        </xdr:sp>
      </mc:Fallback>
    </mc:AlternateContent>
    <xdr:clientData/>
  </xdr:oneCellAnchor>
  <xdr:oneCellAnchor>
    <xdr:from>
      <xdr:col>26</xdr:col>
      <xdr:colOff>0</xdr:colOff>
      <xdr:row>11</xdr:row>
      <xdr:rowOff>0</xdr:rowOff>
    </xdr:from>
    <xdr:ext cx="1386855" cy="534762"/>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D963C775-7FF7-4A72-B306-B3C312462C24}"/>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D963C775-7FF7-4A72-B306-B3C312462C24}"/>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𝑎_0=(</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15</xdr:col>
      <xdr:colOff>0</xdr:colOff>
      <xdr:row>6</xdr:row>
      <xdr:rowOff>0</xdr:rowOff>
    </xdr:from>
    <xdr:ext cx="1212640" cy="463397"/>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664968CE-3E9B-46CD-8DA4-9C48D34D86F6}"/>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𝑟</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8" name="テキスト ボックス 7">
              <a:extLst>
                <a:ext uri="{FF2B5EF4-FFF2-40B4-BE49-F238E27FC236}">
                  <a16:creationId xmlns:a16="http://schemas.microsoft.com/office/drawing/2014/main" id="{664968CE-3E9B-46CD-8DA4-9C48D34D86F6}"/>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𝑁_𝑟 𝐷^3 )</a:t>
              </a:r>
              <a:endParaRPr kumimoji="1" lang="ja-JP" altLang="en-US" sz="1600" i="1"/>
            </a:p>
          </xdr:txBody>
        </xdr:sp>
      </mc:Fallback>
    </mc:AlternateContent>
    <xdr:clientData/>
  </xdr:oneCellAnchor>
  <xdr:oneCellAnchor>
    <xdr:from>
      <xdr:col>15</xdr:col>
      <xdr:colOff>0</xdr:colOff>
      <xdr:row>18</xdr:row>
      <xdr:rowOff>0</xdr:rowOff>
    </xdr:from>
    <xdr:ext cx="1997983" cy="266355"/>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870C1F8A-1AFF-4FDE-90A5-FD8213AC2172}"/>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oMath>
                </m:oMathPara>
              </a14:m>
              <a:endParaRPr kumimoji="1" lang="ja-JP" altLang="en-US" sz="1600" i="1"/>
            </a:p>
          </xdr:txBody>
        </xdr:sp>
      </mc:Choice>
      <mc:Fallback xmlns="">
        <xdr:sp macro="" textlink="">
          <xdr:nvSpPr>
            <xdr:cNvPr id="9" name="テキスト ボックス 8">
              <a:extLst>
                <a:ext uri="{FF2B5EF4-FFF2-40B4-BE49-F238E27FC236}">
                  <a16:creationId xmlns:a16="http://schemas.microsoft.com/office/drawing/2014/main" id="{870C1F8A-1AFF-4FDE-90A5-FD8213AC2172}"/>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𝐶_(𝑓,𝑚𝑎𝑥)=𝐶_(𝑓,𝑚𝑎𝑥,𝑠𝑎𝑚𝑝𝑙𝑒)</a:t>
              </a:r>
              <a:endParaRPr kumimoji="1" lang="ja-JP" altLang="en-US" sz="1600" i="1"/>
            </a:p>
          </xdr:txBody>
        </xdr:sp>
      </mc:Fallback>
    </mc:AlternateContent>
    <xdr:clientData/>
  </xdr:oneCellAnchor>
  <xdr:oneCellAnchor>
    <xdr:from>
      <xdr:col>15</xdr:col>
      <xdr:colOff>0</xdr:colOff>
      <xdr:row>11</xdr:row>
      <xdr:rowOff>0</xdr:rowOff>
    </xdr:from>
    <xdr:ext cx="4225387" cy="786113"/>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FC03A4A1-8649-400B-B814-E7C9C534BC12}"/>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d>
                      <m:dPr>
                        <m:begChr m:val="{"/>
                        <m:endChr m:val=""/>
                        <m:ctrlPr>
                          <a:rPr kumimoji="1" lang="en-US" altLang="ja-JP" sz="1600" b="0" i="1">
                            <a:latin typeface="Cambria Math" panose="02040503050406030204" pitchFamily="18" charset="0"/>
                          </a:rPr>
                        </m:ctrlPr>
                      </m:dPr>
                      <m:e>
                        <m:eqArr>
                          <m:eqArrPr>
                            <m:ctrlPr>
                              <a:rPr kumimoji="1" lang="en-US" altLang="ja-JP" sz="1600" b="0" i="1">
                                <a:latin typeface="Cambria Math" panose="02040503050406030204" pitchFamily="18" charset="0"/>
                              </a:rPr>
                            </m:ctrlPr>
                          </m:eqArr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　　</m:t>
                            </m:r>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極大値がある場合</m:t>
                            </m:r>
                          </m:e>
                          <m:e>
                            <m:r>
                              <a:rPr kumimoji="1" lang="en-US" altLang="ja-JP" sz="1600" b="0" i="1">
                                <a:latin typeface="Cambria Math" panose="02040503050406030204" pitchFamily="18" charset="0"/>
                              </a:rPr>
                              <m:t>&amp;</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𝑚𝑖𝑛</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極大値がない場合</m:t>
                            </m:r>
                          </m:e>
                        </m:eqArr>
                      </m:e>
                    </m:d>
                  </m:oMath>
                </m:oMathPara>
              </a14:m>
              <a:endParaRPr kumimoji="1" lang="ja-JP" altLang="en-US" sz="1600" i="1"/>
            </a:p>
          </xdr:txBody>
        </xdr:sp>
      </mc:Choice>
      <mc:Fallback xmlns="">
        <xdr:sp macro="" textlink="">
          <xdr:nvSpPr>
            <xdr:cNvPr id="10" name="テキスト ボックス 9">
              <a:extLst>
                <a:ext uri="{FF2B5EF4-FFF2-40B4-BE49-F238E27FC236}">
                  <a16:creationId xmlns:a16="http://schemas.microsoft.com/office/drawing/2014/main" id="{FC03A4A1-8649-400B-B814-E7C9C534BC12}"/>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𝐶_(𝑓,𝑚𝑎𝑥)={█(𝐶_(𝑓,𝑝),  </a:t>
              </a:r>
              <a:r>
                <a:rPr kumimoji="1" lang="ja-JP" altLang="en-US" sz="1600" b="0" i="0">
                  <a:latin typeface="Cambria Math" panose="02040503050406030204" pitchFamily="18" charset="0"/>
                </a:rPr>
                <a:t>　　</a:t>
              </a:r>
              <a:r>
                <a:rPr kumimoji="1" lang="en-US" altLang="ja-JP" sz="1600" b="0" i="0">
                  <a:latin typeface="Cambria Math" panose="02040503050406030204" pitchFamily="18" charset="0"/>
                </a:rPr>
                <a:t>        </a:t>
              </a:r>
              <a:r>
                <a:rPr kumimoji="1" lang="ja-JP" altLang="en-US" sz="1600" b="0" i="0">
                  <a:latin typeface="Cambria Math" panose="02040503050406030204" pitchFamily="18" charset="0"/>
                </a:rPr>
                <a:t>極大値がある場合@</a:t>
              </a:r>
              <a:r>
                <a:rPr kumimoji="1" lang="en-US" altLang="ja-JP" sz="1600" b="0" i="0">
                  <a:latin typeface="Cambria Math" panose="02040503050406030204" pitchFamily="18" charset="0"/>
                </a:rPr>
                <a:t>&amp;𝐶_(𝑓,𝑚𝑖𝑛,𝑠𝑎𝑚𝑝𝑙𝑒),  </a:t>
              </a:r>
              <a:r>
                <a:rPr kumimoji="1" lang="ja-JP" altLang="en-US" sz="1600" b="0" i="0">
                  <a:latin typeface="Cambria Math" panose="02040503050406030204" pitchFamily="18" charset="0"/>
                </a:rPr>
                <a:t>極大値がない場合)┤</a:t>
              </a:r>
              <a:endParaRPr kumimoji="1" lang="ja-JP" altLang="en-US" sz="1600" i="1"/>
            </a:p>
          </xdr:txBody>
        </xdr:sp>
      </mc:Fallback>
    </mc:AlternateContent>
    <xdr:clientData/>
  </xdr:oneCellAnchor>
  <xdr:twoCellAnchor>
    <xdr:from>
      <xdr:col>29</xdr:col>
      <xdr:colOff>0</xdr:colOff>
      <xdr:row>14</xdr:row>
      <xdr:rowOff>0</xdr:rowOff>
    </xdr:from>
    <xdr:to>
      <xdr:col>41</xdr:col>
      <xdr:colOff>0</xdr:colOff>
      <xdr:row>24</xdr:row>
      <xdr:rowOff>257174</xdr:rowOff>
    </xdr:to>
    <xdr:graphicFrame macro="">
      <xdr:nvGraphicFramePr>
        <xdr:cNvPr id="11" name="グラフ 10">
          <a:extLst>
            <a:ext uri="{FF2B5EF4-FFF2-40B4-BE49-F238E27FC236}">
              <a16:creationId xmlns:a16="http://schemas.microsoft.com/office/drawing/2014/main" id="{144DBBDA-5637-4F5F-9530-81F01C72A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0</xdr:rowOff>
    </xdr:from>
    <xdr:to>
      <xdr:col>41</xdr:col>
      <xdr:colOff>0</xdr:colOff>
      <xdr:row>36</xdr:row>
      <xdr:rowOff>257174</xdr:rowOff>
    </xdr:to>
    <xdr:graphicFrame macro="">
      <xdr:nvGraphicFramePr>
        <xdr:cNvPr id="12" name="グラフ 11">
          <a:extLst>
            <a:ext uri="{FF2B5EF4-FFF2-40B4-BE49-F238E27FC236}">
              <a16:creationId xmlns:a16="http://schemas.microsoft.com/office/drawing/2014/main" id="{55C5825A-F6F2-46F4-92E9-70E6C5439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23</xdr:col>
      <xdr:colOff>0</xdr:colOff>
      <xdr:row>6</xdr:row>
      <xdr:rowOff>0</xdr:rowOff>
    </xdr:from>
    <xdr:ext cx="6961265" cy="558230"/>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96641160-C439-4F4B-A64B-D49D4CC5EE5E}"/>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𝑓</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𝑁</m:t>
                        </m:r>
                      </m:e>
                    </m:d>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e>
                    </m:d>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r>
                      <a:rPr kumimoji="1" lang="en-US" altLang="ja-JP" sz="1600" b="0" i="1">
                        <a:latin typeface="Cambria Math" panose="02040503050406030204" pitchFamily="18" charset="0"/>
                      </a:rPr>
                      <m:t>𝑁</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96641160-C439-4F4B-A64B-D49D4CC5EE5E}"/>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𝑓(𝑁)=(</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𝑁^4+(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 𝑁^3+((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 ) 𝑁^2+(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 𝑁+(</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23</xdr:col>
      <xdr:colOff>28575</xdr:colOff>
      <xdr:row>9</xdr:row>
      <xdr:rowOff>9525</xdr:rowOff>
    </xdr:from>
    <xdr:ext cx="1103122" cy="494110"/>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95777383-7A23-43F0-8386-960C1F345B34}"/>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4</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95777383-7A23-43F0-8386-960C1F345B34}"/>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𝑎_4=(</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a:t>
              </a:r>
              <a:endParaRPr kumimoji="1" lang="ja-JP" altLang="en-US" sz="1600" i="1"/>
            </a:p>
          </xdr:txBody>
        </xdr:sp>
      </mc:Fallback>
    </mc:AlternateContent>
    <xdr:clientData/>
  </xdr:oneCellAnchor>
  <xdr:oneCellAnchor>
    <xdr:from>
      <xdr:col>25</xdr:col>
      <xdr:colOff>771525</xdr:colOff>
      <xdr:row>9</xdr:row>
      <xdr:rowOff>66675</xdr:rowOff>
    </xdr:from>
    <xdr:ext cx="1002389" cy="421719"/>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8005CDA2-2317-4C7C-B1B6-9EFA95587E8D}"/>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8005CDA2-2317-4C7C-B1B6-9EFA95587E8D}"/>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a:t>
              </a:r>
              <a:endParaRPr kumimoji="1" lang="ja-JP" altLang="en-US" sz="1600" i="1"/>
            </a:p>
          </xdr:txBody>
        </xdr:sp>
      </mc:Fallback>
    </mc:AlternateContent>
    <xdr:clientData/>
  </xdr:oneCellAnchor>
  <xdr:oneCellAnchor>
    <xdr:from>
      <xdr:col>26</xdr:col>
      <xdr:colOff>1046741</xdr:colOff>
      <xdr:row>9</xdr:row>
      <xdr:rowOff>0</xdr:rowOff>
    </xdr:from>
    <xdr:ext cx="1746760" cy="53578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6BEEF9BD-03C6-4BDD-8487-D85B7D524984}"/>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6BEEF9BD-03C6-4BDD-8487-D85B7D524984}"/>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a:t>
              </a:r>
              <a:endParaRPr kumimoji="1" lang="ja-JP" altLang="en-US" sz="1600" i="1"/>
            </a:p>
          </xdr:txBody>
        </xdr:sp>
      </mc:Fallback>
    </mc:AlternateContent>
    <xdr:clientData/>
  </xdr:oneCellAnchor>
  <xdr:oneCellAnchor>
    <xdr:from>
      <xdr:col>23</xdr:col>
      <xdr:colOff>0</xdr:colOff>
      <xdr:row>11</xdr:row>
      <xdr:rowOff>0</xdr:rowOff>
    </xdr:from>
    <xdr:ext cx="1299779" cy="535788"/>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AE1DE909-D94E-43B4-B1F6-CB4A28C9DAD6}"/>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AE1DE909-D94E-43B4-B1F6-CB4A28C9DAD6}"/>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𝑎_1=(</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a:t>
              </a:r>
              <a:endParaRPr kumimoji="1" lang="ja-JP" altLang="en-US" sz="1600" i="1"/>
            </a:p>
          </xdr:txBody>
        </xdr:sp>
      </mc:Fallback>
    </mc:AlternateContent>
    <xdr:clientData/>
  </xdr:oneCellAnchor>
  <xdr:oneCellAnchor>
    <xdr:from>
      <xdr:col>26</xdr:col>
      <xdr:colOff>0</xdr:colOff>
      <xdr:row>11</xdr:row>
      <xdr:rowOff>0</xdr:rowOff>
    </xdr:from>
    <xdr:ext cx="1386855" cy="534762"/>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483A5D5B-9FC2-414C-9BFD-049B04A92202}"/>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483A5D5B-9FC2-414C-9BFD-049B04A92202}"/>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𝑎_0=(</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15</xdr:col>
      <xdr:colOff>0</xdr:colOff>
      <xdr:row>6</xdr:row>
      <xdr:rowOff>0</xdr:rowOff>
    </xdr:from>
    <xdr:ext cx="1212640" cy="463397"/>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7D6E500A-AF64-45E0-8229-17A1E7C9F560}"/>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𝑟</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8" name="テキスト ボックス 7">
              <a:extLst>
                <a:ext uri="{FF2B5EF4-FFF2-40B4-BE49-F238E27FC236}">
                  <a16:creationId xmlns:a16="http://schemas.microsoft.com/office/drawing/2014/main" id="{7D6E500A-AF64-45E0-8229-17A1E7C9F560}"/>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𝑁_𝑟 𝐷^3 )</a:t>
              </a:r>
              <a:endParaRPr kumimoji="1" lang="ja-JP" altLang="en-US" sz="1600" i="1"/>
            </a:p>
          </xdr:txBody>
        </xdr:sp>
      </mc:Fallback>
    </mc:AlternateContent>
    <xdr:clientData/>
  </xdr:oneCellAnchor>
  <xdr:oneCellAnchor>
    <xdr:from>
      <xdr:col>15</xdr:col>
      <xdr:colOff>0</xdr:colOff>
      <xdr:row>18</xdr:row>
      <xdr:rowOff>0</xdr:rowOff>
    </xdr:from>
    <xdr:ext cx="1997983" cy="266355"/>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720EE75F-0FFC-4C89-9CFA-C3545D6ADCF5}"/>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oMath>
                </m:oMathPara>
              </a14:m>
              <a:endParaRPr kumimoji="1" lang="ja-JP" altLang="en-US" sz="1600" i="1"/>
            </a:p>
          </xdr:txBody>
        </xdr:sp>
      </mc:Choice>
      <mc:Fallback xmlns="">
        <xdr:sp macro="" textlink="">
          <xdr:nvSpPr>
            <xdr:cNvPr id="9" name="テキスト ボックス 8">
              <a:extLst>
                <a:ext uri="{FF2B5EF4-FFF2-40B4-BE49-F238E27FC236}">
                  <a16:creationId xmlns:a16="http://schemas.microsoft.com/office/drawing/2014/main" id="{720EE75F-0FFC-4C89-9CFA-C3545D6ADCF5}"/>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𝐶_(𝑓,𝑚𝑎𝑥)=𝐶_(𝑓,𝑚𝑎𝑥,𝑠𝑎𝑚𝑝𝑙𝑒)</a:t>
              </a:r>
              <a:endParaRPr kumimoji="1" lang="ja-JP" altLang="en-US" sz="1600" i="1"/>
            </a:p>
          </xdr:txBody>
        </xdr:sp>
      </mc:Fallback>
    </mc:AlternateContent>
    <xdr:clientData/>
  </xdr:oneCellAnchor>
  <xdr:oneCellAnchor>
    <xdr:from>
      <xdr:col>15</xdr:col>
      <xdr:colOff>0</xdr:colOff>
      <xdr:row>11</xdr:row>
      <xdr:rowOff>0</xdr:rowOff>
    </xdr:from>
    <xdr:ext cx="4225387" cy="786113"/>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C5529CEF-5975-47FD-832F-4D5CD71F0291}"/>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d>
                      <m:dPr>
                        <m:begChr m:val="{"/>
                        <m:endChr m:val=""/>
                        <m:ctrlPr>
                          <a:rPr kumimoji="1" lang="en-US" altLang="ja-JP" sz="1600" b="0" i="1">
                            <a:latin typeface="Cambria Math" panose="02040503050406030204" pitchFamily="18" charset="0"/>
                          </a:rPr>
                        </m:ctrlPr>
                      </m:dPr>
                      <m:e>
                        <m:eqArr>
                          <m:eqArrPr>
                            <m:ctrlPr>
                              <a:rPr kumimoji="1" lang="en-US" altLang="ja-JP" sz="1600" b="0" i="1">
                                <a:latin typeface="Cambria Math" panose="02040503050406030204" pitchFamily="18" charset="0"/>
                              </a:rPr>
                            </m:ctrlPr>
                          </m:eqArr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　　</m:t>
                            </m:r>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極大値がある場合</m:t>
                            </m:r>
                          </m:e>
                          <m:e>
                            <m:r>
                              <a:rPr kumimoji="1" lang="en-US" altLang="ja-JP" sz="1600" b="0" i="1">
                                <a:latin typeface="Cambria Math" panose="02040503050406030204" pitchFamily="18" charset="0"/>
                              </a:rPr>
                              <m:t>&amp;</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𝑚𝑖𝑛</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極大値がない場合</m:t>
                            </m:r>
                          </m:e>
                        </m:eqArr>
                      </m:e>
                    </m:d>
                  </m:oMath>
                </m:oMathPara>
              </a14:m>
              <a:endParaRPr kumimoji="1" lang="ja-JP" altLang="en-US" sz="1600" i="1"/>
            </a:p>
          </xdr:txBody>
        </xdr:sp>
      </mc:Choice>
      <mc:Fallback xmlns="">
        <xdr:sp macro="" textlink="">
          <xdr:nvSpPr>
            <xdr:cNvPr id="10" name="テキスト ボックス 9">
              <a:extLst>
                <a:ext uri="{FF2B5EF4-FFF2-40B4-BE49-F238E27FC236}">
                  <a16:creationId xmlns:a16="http://schemas.microsoft.com/office/drawing/2014/main" id="{C5529CEF-5975-47FD-832F-4D5CD71F0291}"/>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𝐶_(𝑓,𝑚𝑎𝑥)={█(𝐶_(𝑓,𝑝),  </a:t>
              </a:r>
              <a:r>
                <a:rPr kumimoji="1" lang="ja-JP" altLang="en-US" sz="1600" b="0" i="0">
                  <a:latin typeface="Cambria Math" panose="02040503050406030204" pitchFamily="18" charset="0"/>
                </a:rPr>
                <a:t>　　</a:t>
              </a:r>
              <a:r>
                <a:rPr kumimoji="1" lang="en-US" altLang="ja-JP" sz="1600" b="0" i="0">
                  <a:latin typeface="Cambria Math" panose="02040503050406030204" pitchFamily="18" charset="0"/>
                </a:rPr>
                <a:t>        </a:t>
              </a:r>
              <a:r>
                <a:rPr kumimoji="1" lang="ja-JP" altLang="en-US" sz="1600" b="0" i="0">
                  <a:latin typeface="Cambria Math" panose="02040503050406030204" pitchFamily="18" charset="0"/>
                </a:rPr>
                <a:t>極大値がある場合@</a:t>
              </a:r>
              <a:r>
                <a:rPr kumimoji="1" lang="en-US" altLang="ja-JP" sz="1600" b="0" i="0">
                  <a:latin typeface="Cambria Math" panose="02040503050406030204" pitchFamily="18" charset="0"/>
                </a:rPr>
                <a:t>&amp;𝐶_(𝑓,𝑚𝑖𝑛,𝑠𝑎𝑚𝑝𝑙𝑒),  </a:t>
              </a:r>
              <a:r>
                <a:rPr kumimoji="1" lang="ja-JP" altLang="en-US" sz="1600" b="0" i="0">
                  <a:latin typeface="Cambria Math" panose="02040503050406030204" pitchFamily="18" charset="0"/>
                </a:rPr>
                <a:t>極大値がない場合)┤</a:t>
              </a:r>
              <a:endParaRPr kumimoji="1" lang="ja-JP" altLang="en-US" sz="1600" i="1"/>
            </a:p>
          </xdr:txBody>
        </xdr:sp>
      </mc:Fallback>
    </mc:AlternateContent>
    <xdr:clientData/>
  </xdr:oneCellAnchor>
  <xdr:twoCellAnchor>
    <xdr:from>
      <xdr:col>29</xdr:col>
      <xdr:colOff>0</xdr:colOff>
      <xdr:row>14</xdr:row>
      <xdr:rowOff>0</xdr:rowOff>
    </xdr:from>
    <xdr:to>
      <xdr:col>41</xdr:col>
      <xdr:colOff>0</xdr:colOff>
      <xdr:row>24</xdr:row>
      <xdr:rowOff>257174</xdr:rowOff>
    </xdr:to>
    <xdr:graphicFrame macro="">
      <xdr:nvGraphicFramePr>
        <xdr:cNvPr id="11" name="グラフ 10">
          <a:extLst>
            <a:ext uri="{FF2B5EF4-FFF2-40B4-BE49-F238E27FC236}">
              <a16:creationId xmlns:a16="http://schemas.microsoft.com/office/drawing/2014/main" id="{81C1868A-4C25-4DB0-B518-3CBEAC235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0</xdr:rowOff>
    </xdr:from>
    <xdr:to>
      <xdr:col>41</xdr:col>
      <xdr:colOff>0</xdr:colOff>
      <xdr:row>36</xdr:row>
      <xdr:rowOff>257174</xdr:rowOff>
    </xdr:to>
    <xdr:graphicFrame macro="">
      <xdr:nvGraphicFramePr>
        <xdr:cNvPr id="12" name="グラフ 11">
          <a:extLst>
            <a:ext uri="{FF2B5EF4-FFF2-40B4-BE49-F238E27FC236}">
              <a16:creationId xmlns:a16="http://schemas.microsoft.com/office/drawing/2014/main" id="{A6DDF494-9FAC-4269-B052-ACE958450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23</xdr:col>
      <xdr:colOff>0</xdr:colOff>
      <xdr:row>6</xdr:row>
      <xdr:rowOff>0</xdr:rowOff>
    </xdr:from>
    <xdr:ext cx="6961265" cy="558230"/>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97636BEA-40B7-496D-A1E4-B2FB2D80FC20}"/>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𝑓</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𝑁</m:t>
                        </m:r>
                      </m:e>
                    </m:d>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e>
                    </m:d>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r>
                      <a:rPr kumimoji="1" lang="en-US" altLang="ja-JP" sz="1600" b="0" i="1">
                        <a:latin typeface="Cambria Math" panose="02040503050406030204" pitchFamily="18" charset="0"/>
                      </a:rPr>
                      <m:t>𝑁</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97636BEA-40B7-496D-A1E4-B2FB2D80FC20}"/>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𝑓(𝑁)=(</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𝑁^4+(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 𝑁^3+((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 ) 𝑁^2+(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 𝑁+(</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23</xdr:col>
      <xdr:colOff>28575</xdr:colOff>
      <xdr:row>9</xdr:row>
      <xdr:rowOff>9525</xdr:rowOff>
    </xdr:from>
    <xdr:ext cx="1103122" cy="494110"/>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4D13D988-9ED8-4446-9EAE-A68271DB5742}"/>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4</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4D13D988-9ED8-4446-9EAE-A68271DB5742}"/>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𝑎_4=(</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a:t>
              </a:r>
              <a:endParaRPr kumimoji="1" lang="ja-JP" altLang="en-US" sz="1600" i="1"/>
            </a:p>
          </xdr:txBody>
        </xdr:sp>
      </mc:Fallback>
    </mc:AlternateContent>
    <xdr:clientData/>
  </xdr:oneCellAnchor>
  <xdr:oneCellAnchor>
    <xdr:from>
      <xdr:col>25</xdr:col>
      <xdr:colOff>771525</xdr:colOff>
      <xdr:row>9</xdr:row>
      <xdr:rowOff>66675</xdr:rowOff>
    </xdr:from>
    <xdr:ext cx="1002389" cy="421719"/>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688A6A8B-98A0-4DB4-B26F-D1DF1966EA81}"/>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688A6A8B-98A0-4DB4-B26F-D1DF1966EA81}"/>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a:t>
              </a:r>
              <a:endParaRPr kumimoji="1" lang="ja-JP" altLang="en-US" sz="1600" i="1"/>
            </a:p>
          </xdr:txBody>
        </xdr:sp>
      </mc:Fallback>
    </mc:AlternateContent>
    <xdr:clientData/>
  </xdr:oneCellAnchor>
  <xdr:oneCellAnchor>
    <xdr:from>
      <xdr:col>26</xdr:col>
      <xdr:colOff>1046741</xdr:colOff>
      <xdr:row>9</xdr:row>
      <xdr:rowOff>0</xdr:rowOff>
    </xdr:from>
    <xdr:ext cx="1746760" cy="53578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F6C9A61A-8942-42A1-BFF3-05A970B6BD80}"/>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F6C9A61A-8942-42A1-BFF3-05A970B6BD80}"/>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a:t>
              </a:r>
              <a:endParaRPr kumimoji="1" lang="ja-JP" altLang="en-US" sz="1600" i="1"/>
            </a:p>
          </xdr:txBody>
        </xdr:sp>
      </mc:Fallback>
    </mc:AlternateContent>
    <xdr:clientData/>
  </xdr:oneCellAnchor>
  <xdr:oneCellAnchor>
    <xdr:from>
      <xdr:col>23</xdr:col>
      <xdr:colOff>0</xdr:colOff>
      <xdr:row>11</xdr:row>
      <xdr:rowOff>0</xdr:rowOff>
    </xdr:from>
    <xdr:ext cx="1299779" cy="535788"/>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887D010E-2459-4A26-A648-3E5553C1C835}"/>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887D010E-2459-4A26-A648-3E5553C1C835}"/>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𝑎_1=(</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a:t>
              </a:r>
              <a:endParaRPr kumimoji="1" lang="ja-JP" altLang="en-US" sz="1600" i="1"/>
            </a:p>
          </xdr:txBody>
        </xdr:sp>
      </mc:Fallback>
    </mc:AlternateContent>
    <xdr:clientData/>
  </xdr:oneCellAnchor>
  <xdr:oneCellAnchor>
    <xdr:from>
      <xdr:col>26</xdr:col>
      <xdr:colOff>0</xdr:colOff>
      <xdr:row>11</xdr:row>
      <xdr:rowOff>0</xdr:rowOff>
    </xdr:from>
    <xdr:ext cx="1386855" cy="534762"/>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1B9A4C9-AFE2-47D4-AEC8-2300830B7001}"/>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01B9A4C9-AFE2-47D4-AEC8-2300830B7001}"/>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𝑎_0=(</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15</xdr:col>
      <xdr:colOff>0</xdr:colOff>
      <xdr:row>6</xdr:row>
      <xdr:rowOff>0</xdr:rowOff>
    </xdr:from>
    <xdr:ext cx="1212640" cy="463397"/>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D74A56F5-B758-4669-A067-FC32442E1B73}"/>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𝑟</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8" name="テキスト ボックス 7">
              <a:extLst>
                <a:ext uri="{FF2B5EF4-FFF2-40B4-BE49-F238E27FC236}">
                  <a16:creationId xmlns:a16="http://schemas.microsoft.com/office/drawing/2014/main" id="{D74A56F5-B758-4669-A067-FC32442E1B73}"/>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𝑁_𝑟 𝐷^3 )</a:t>
              </a:r>
              <a:endParaRPr kumimoji="1" lang="ja-JP" altLang="en-US" sz="1600" i="1"/>
            </a:p>
          </xdr:txBody>
        </xdr:sp>
      </mc:Fallback>
    </mc:AlternateContent>
    <xdr:clientData/>
  </xdr:oneCellAnchor>
  <xdr:oneCellAnchor>
    <xdr:from>
      <xdr:col>15</xdr:col>
      <xdr:colOff>0</xdr:colOff>
      <xdr:row>18</xdr:row>
      <xdr:rowOff>0</xdr:rowOff>
    </xdr:from>
    <xdr:ext cx="1997983" cy="266355"/>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11A8826C-AB91-4E84-9A84-5907412BB682}"/>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oMath>
                </m:oMathPara>
              </a14:m>
              <a:endParaRPr kumimoji="1" lang="ja-JP" altLang="en-US" sz="1600" i="1"/>
            </a:p>
          </xdr:txBody>
        </xdr:sp>
      </mc:Choice>
      <mc:Fallback xmlns="">
        <xdr:sp macro="" textlink="">
          <xdr:nvSpPr>
            <xdr:cNvPr id="9" name="テキスト ボックス 8">
              <a:extLst>
                <a:ext uri="{FF2B5EF4-FFF2-40B4-BE49-F238E27FC236}">
                  <a16:creationId xmlns:a16="http://schemas.microsoft.com/office/drawing/2014/main" id="{11A8826C-AB91-4E84-9A84-5907412BB682}"/>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𝐶_(𝑓,𝑚𝑎𝑥)=𝐶_(𝑓,𝑚𝑎𝑥,𝑠𝑎𝑚𝑝𝑙𝑒)</a:t>
              </a:r>
              <a:endParaRPr kumimoji="1" lang="ja-JP" altLang="en-US" sz="1600" i="1"/>
            </a:p>
          </xdr:txBody>
        </xdr:sp>
      </mc:Fallback>
    </mc:AlternateContent>
    <xdr:clientData/>
  </xdr:oneCellAnchor>
  <xdr:oneCellAnchor>
    <xdr:from>
      <xdr:col>15</xdr:col>
      <xdr:colOff>0</xdr:colOff>
      <xdr:row>11</xdr:row>
      <xdr:rowOff>0</xdr:rowOff>
    </xdr:from>
    <xdr:ext cx="4225387" cy="786113"/>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3AE23696-41E2-42E9-8E25-F1E606AD2EE0}"/>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d>
                      <m:dPr>
                        <m:begChr m:val="{"/>
                        <m:endChr m:val=""/>
                        <m:ctrlPr>
                          <a:rPr kumimoji="1" lang="en-US" altLang="ja-JP" sz="1600" b="0" i="1">
                            <a:latin typeface="Cambria Math" panose="02040503050406030204" pitchFamily="18" charset="0"/>
                          </a:rPr>
                        </m:ctrlPr>
                      </m:dPr>
                      <m:e>
                        <m:eqArr>
                          <m:eqArrPr>
                            <m:ctrlPr>
                              <a:rPr kumimoji="1" lang="en-US" altLang="ja-JP" sz="1600" b="0" i="1">
                                <a:latin typeface="Cambria Math" panose="02040503050406030204" pitchFamily="18" charset="0"/>
                              </a:rPr>
                            </m:ctrlPr>
                          </m:eqArr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　　</m:t>
                            </m:r>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極大値がある場合</m:t>
                            </m:r>
                          </m:e>
                          <m:e>
                            <m:r>
                              <a:rPr kumimoji="1" lang="en-US" altLang="ja-JP" sz="1600" b="0" i="1">
                                <a:latin typeface="Cambria Math" panose="02040503050406030204" pitchFamily="18" charset="0"/>
                              </a:rPr>
                              <m:t>&amp;</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𝑚𝑖𝑛</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極大値がない場合</m:t>
                            </m:r>
                          </m:e>
                        </m:eqArr>
                      </m:e>
                    </m:d>
                  </m:oMath>
                </m:oMathPara>
              </a14:m>
              <a:endParaRPr kumimoji="1" lang="ja-JP" altLang="en-US" sz="1600" i="1"/>
            </a:p>
          </xdr:txBody>
        </xdr:sp>
      </mc:Choice>
      <mc:Fallback xmlns="">
        <xdr:sp macro="" textlink="">
          <xdr:nvSpPr>
            <xdr:cNvPr id="10" name="テキスト ボックス 9">
              <a:extLst>
                <a:ext uri="{FF2B5EF4-FFF2-40B4-BE49-F238E27FC236}">
                  <a16:creationId xmlns:a16="http://schemas.microsoft.com/office/drawing/2014/main" id="{3AE23696-41E2-42E9-8E25-F1E606AD2EE0}"/>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𝐶_(𝑓,𝑚𝑎𝑥)={█(𝐶_(𝑓,𝑝),  </a:t>
              </a:r>
              <a:r>
                <a:rPr kumimoji="1" lang="ja-JP" altLang="en-US" sz="1600" b="0" i="0">
                  <a:latin typeface="Cambria Math" panose="02040503050406030204" pitchFamily="18" charset="0"/>
                </a:rPr>
                <a:t>　　</a:t>
              </a:r>
              <a:r>
                <a:rPr kumimoji="1" lang="en-US" altLang="ja-JP" sz="1600" b="0" i="0">
                  <a:latin typeface="Cambria Math" panose="02040503050406030204" pitchFamily="18" charset="0"/>
                </a:rPr>
                <a:t>        </a:t>
              </a:r>
              <a:r>
                <a:rPr kumimoji="1" lang="ja-JP" altLang="en-US" sz="1600" b="0" i="0">
                  <a:latin typeface="Cambria Math" panose="02040503050406030204" pitchFamily="18" charset="0"/>
                </a:rPr>
                <a:t>極大値がある場合@</a:t>
              </a:r>
              <a:r>
                <a:rPr kumimoji="1" lang="en-US" altLang="ja-JP" sz="1600" b="0" i="0">
                  <a:latin typeface="Cambria Math" panose="02040503050406030204" pitchFamily="18" charset="0"/>
                </a:rPr>
                <a:t>&amp;𝐶_(𝑓,𝑚𝑖𝑛,𝑠𝑎𝑚𝑝𝑙𝑒),  </a:t>
              </a:r>
              <a:r>
                <a:rPr kumimoji="1" lang="ja-JP" altLang="en-US" sz="1600" b="0" i="0">
                  <a:latin typeface="Cambria Math" panose="02040503050406030204" pitchFamily="18" charset="0"/>
                </a:rPr>
                <a:t>極大値がない場合)┤</a:t>
              </a:r>
              <a:endParaRPr kumimoji="1" lang="ja-JP" altLang="en-US" sz="1600" i="1"/>
            </a:p>
          </xdr:txBody>
        </xdr:sp>
      </mc:Fallback>
    </mc:AlternateContent>
    <xdr:clientData/>
  </xdr:oneCellAnchor>
  <xdr:twoCellAnchor>
    <xdr:from>
      <xdr:col>29</xdr:col>
      <xdr:colOff>0</xdr:colOff>
      <xdr:row>14</xdr:row>
      <xdr:rowOff>0</xdr:rowOff>
    </xdr:from>
    <xdr:to>
      <xdr:col>41</xdr:col>
      <xdr:colOff>0</xdr:colOff>
      <xdr:row>24</xdr:row>
      <xdr:rowOff>257174</xdr:rowOff>
    </xdr:to>
    <xdr:graphicFrame macro="">
      <xdr:nvGraphicFramePr>
        <xdr:cNvPr id="11" name="グラフ 10">
          <a:extLst>
            <a:ext uri="{FF2B5EF4-FFF2-40B4-BE49-F238E27FC236}">
              <a16:creationId xmlns:a16="http://schemas.microsoft.com/office/drawing/2014/main" id="{F95EC356-4323-4FFF-89C9-F11BA972E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0</xdr:rowOff>
    </xdr:from>
    <xdr:to>
      <xdr:col>41</xdr:col>
      <xdr:colOff>0</xdr:colOff>
      <xdr:row>36</xdr:row>
      <xdr:rowOff>257174</xdr:rowOff>
    </xdr:to>
    <xdr:graphicFrame macro="">
      <xdr:nvGraphicFramePr>
        <xdr:cNvPr id="12" name="グラフ 11">
          <a:extLst>
            <a:ext uri="{FF2B5EF4-FFF2-40B4-BE49-F238E27FC236}">
              <a16:creationId xmlns:a16="http://schemas.microsoft.com/office/drawing/2014/main" id="{47276ADB-11A6-4D9E-8323-17867BFA5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23</xdr:col>
      <xdr:colOff>0</xdr:colOff>
      <xdr:row>6</xdr:row>
      <xdr:rowOff>0</xdr:rowOff>
    </xdr:from>
    <xdr:ext cx="6961265" cy="558230"/>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E6616305-1E9F-4BB7-9BCA-B0C4DA724A84}"/>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𝑓</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𝑁</m:t>
                        </m:r>
                      </m:e>
                    </m:d>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e>
                    </m:d>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r>
                      <a:rPr kumimoji="1" lang="en-US" altLang="ja-JP" sz="1600" b="0" i="1">
                        <a:latin typeface="Cambria Math" panose="02040503050406030204" pitchFamily="18" charset="0"/>
                      </a:rPr>
                      <m:t>𝑁</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E6616305-1E9F-4BB7-9BCA-B0C4DA724A84}"/>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𝑓(𝑁)=(</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𝑁^4+(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 𝑁^3+((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 ) 𝑁^2+(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 𝑁+(</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23</xdr:col>
      <xdr:colOff>28575</xdr:colOff>
      <xdr:row>9</xdr:row>
      <xdr:rowOff>9525</xdr:rowOff>
    </xdr:from>
    <xdr:ext cx="1103122" cy="494110"/>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D19E42D0-EA88-45E1-8239-A89AF892087A}"/>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4</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D19E42D0-EA88-45E1-8239-A89AF892087A}"/>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𝑎_4=(</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a:t>
              </a:r>
              <a:endParaRPr kumimoji="1" lang="ja-JP" altLang="en-US" sz="1600" i="1"/>
            </a:p>
          </xdr:txBody>
        </xdr:sp>
      </mc:Fallback>
    </mc:AlternateContent>
    <xdr:clientData/>
  </xdr:oneCellAnchor>
  <xdr:oneCellAnchor>
    <xdr:from>
      <xdr:col>25</xdr:col>
      <xdr:colOff>771525</xdr:colOff>
      <xdr:row>9</xdr:row>
      <xdr:rowOff>66675</xdr:rowOff>
    </xdr:from>
    <xdr:ext cx="1002389" cy="421719"/>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E4B31930-4CD1-491A-935F-E1073BEAAF98}"/>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E4B31930-4CD1-491A-935F-E1073BEAAF98}"/>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a:t>
              </a:r>
              <a:endParaRPr kumimoji="1" lang="ja-JP" altLang="en-US" sz="1600" i="1"/>
            </a:p>
          </xdr:txBody>
        </xdr:sp>
      </mc:Fallback>
    </mc:AlternateContent>
    <xdr:clientData/>
  </xdr:oneCellAnchor>
  <xdr:oneCellAnchor>
    <xdr:from>
      <xdr:col>26</xdr:col>
      <xdr:colOff>1046741</xdr:colOff>
      <xdr:row>9</xdr:row>
      <xdr:rowOff>0</xdr:rowOff>
    </xdr:from>
    <xdr:ext cx="1746760" cy="53578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C15A12DD-CFFD-40D3-8507-409243A8045F}"/>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C15A12DD-CFFD-40D3-8507-409243A8045F}"/>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a:t>
              </a:r>
              <a:endParaRPr kumimoji="1" lang="ja-JP" altLang="en-US" sz="1600" i="1"/>
            </a:p>
          </xdr:txBody>
        </xdr:sp>
      </mc:Fallback>
    </mc:AlternateContent>
    <xdr:clientData/>
  </xdr:oneCellAnchor>
  <xdr:oneCellAnchor>
    <xdr:from>
      <xdr:col>23</xdr:col>
      <xdr:colOff>0</xdr:colOff>
      <xdr:row>11</xdr:row>
      <xdr:rowOff>0</xdr:rowOff>
    </xdr:from>
    <xdr:ext cx="1299779" cy="535788"/>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593DFB5E-E5E3-4F80-B1C2-C617B80EB6C2}"/>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593DFB5E-E5E3-4F80-B1C2-C617B80EB6C2}"/>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𝑎_1=(</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a:t>
              </a:r>
              <a:endParaRPr kumimoji="1" lang="ja-JP" altLang="en-US" sz="1600" i="1"/>
            </a:p>
          </xdr:txBody>
        </xdr:sp>
      </mc:Fallback>
    </mc:AlternateContent>
    <xdr:clientData/>
  </xdr:oneCellAnchor>
  <xdr:oneCellAnchor>
    <xdr:from>
      <xdr:col>26</xdr:col>
      <xdr:colOff>0</xdr:colOff>
      <xdr:row>11</xdr:row>
      <xdr:rowOff>0</xdr:rowOff>
    </xdr:from>
    <xdr:ext cx="1386855" cy="534762"/>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13A8B140-314D-41E6-84EF-2BB46CB4E7B1}"/>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13A8B140-314D-41E6-84EF-2BB46CB4E7B1}"/>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𝑎_0=(</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15</xdr:col>
      <xdr:colOff>0</xdr:colOff>
      <xdr:row>6</xdr:row>
      <xdr:rowOff>0</xdr:rowOff>
    </xdr:from>
    <xdr:ext cx="1212640" cy="463397"/>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EB238524-15A5-4654-AD60-F5874EC920E9}"/>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𝑟</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8" name="テキスト ボックス 7">
              <a:extLst>
                <a:ext uri="{FF2B5EF4-FFF2-40B4-BE49-F238E27FC236}">
                  <a16:creationId xmlns:a16="http://schemas.microsoft.com/office/drawing/2014/main" id="{EB238524-15A5-4654-AD60-F5874EC920E9}"/>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𝑁_𝑟 𝐷^3 )</a:t>
              </a:r>
              <a:endParaRPr kumimoji="1" lang="ja-JP" altLang="en-US" sz="1600" i="1"/>
            </a:p>
          </xdr:txBody>
        </xdr:sp>
      </mc:Fallback>
    </mc:AlternateContent>
    <xdr:clientData/>
  </xdr:oneCellAnchor>
  <xdr:oneCellAnchor>
    <xdr:from>
      <xdr:col>15</xdr:col>
      <xdr:colOff>0</xdr:colOff>
      <xdr:row>18</xdr:row>
      <xdr:rowOff>0</xdr:rowOff>
    </xdr:from>
    <xdr:ext cx="1997983" cy="266355"/>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C539900-8EA8-47DB-AB1D-16F255EAA743}"/>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oMath>
                </m:oMathPara>
              </a14:m>
              <a:endParaRPr kumimoji="1" lang="ja-JP" altLang="en-US" sz="1600" i="1"/>
            </a:p>
          </xdr:txBody>
        </xdr:sp>
      </mc:Choice>
      <mc:Fallback xmlns="">
        <xdr:sp macro="" textlink="">
          <xdr:nvSpPr>
            <xdr:cNvPr id="9" name="テキスト ボックス 8">
              <a:extLst>
                <a:ext uri="{FF2B5EF4-FFF2-40B4-BE49-F238E27FC236}">
                  <a16:creationId xmlns:a16="http://schemas.microsoft.com/office/drawing/2014/main" id="{0C539900-8EA8-47DB-AB1D-16F255EAA743}"/>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𝐶_(𝑓,𝑚𝑎𝑥)=𝐶_(𝑓,𝑚𝑎𝑥,𝑠𝑎𝑚𝑝𝑙𝑒)</a:t>
              </a:r>
              <a:endParaRPr kumimoji="1" lang="ja-JP" altLang="en-US" sz="1600" i="1"/>
            </a:p>
          </xdr:txBody>
        </xdr:sp>
      </mc:Fallback>
    </mc:AlternateContent>
    <xdr:clientData/>
  </xdr:oneCellAnchor>
  <xdr:oneCellAnchor>
    <xdr:from>
      <xdr:col>15</xdr:col>
      <xdr:colOff>0</xdr:colOff>
      <xdr:row>11</xdr:row>
      <xdr:rowOff>0</xdr:rowOff>
    </xdr:from>
    <xdr:ext cx="4225387" cy="786113"/>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AEEDCE9D-DCA4-4810-82D1-AAEB279BB81F}"/>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d>
                      <m:dPr>
                        <m:begChr m:val="{"/>
                        <m:endChr m:val=""/>
                        <m:ctrlPr>
                          <a:rPr kumimoji="1" lang="en-US" altLang="ja-JP" sz="1600" b="0" i="1">
                            <a:latin typeface="Cambria Math" panose="02040503050406030204" pitchFamily="18" charset="0"/>
                          </a:rPr>
                        </m:ctrlPr>
                      </m:dPr>
                      <m:e>
                        <m:eqArr>
                          <m:eqArrPr>
                            <m:ctrlPr>
                              <a:rPr kumimoji="1" lang="en-US" altLang="ja-JP" sz="1600" b="0" i="1">
                                <a:latin typeface="Cambria Math" panose="02040503050406030204" pitchFamily="18" charset="0"/>
                              </a:rPr>
                            </m:ctrlPr>
                          </m:eqArr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　　</m:t>
                            </m:r>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極大値がある場合</m:t>
                            </m:r>
                          </m:e>
                          <m:e>
                            <m:r>
                              <a:rPr kumimoji="1" lang="en-US" altLang="ja-JP" sz="1600" b="0" i="1">
                                <a:latin typeface="Cambria Math" panose="02040503050406030204" pitchFamily="18" charset="0"/>
                              </a:rPr>
                              <m:t>&amp;</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𝑚𝑖𝑛</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極大値がない場合</m:t>
                            </m:r>
                          </m:e>
                        </m:eqArr>
                      </m:e>
                    </m:d>
                  </m:oMath>
                </m:oMathPara>
              </a14:m>
              <a:endParaRPr kumimoji="1" lang="ja-JP" altLang="en-US" sz="1600" i="1"/>
            </a:p>
          </xdr:txBody>
        </xdr:sp>
      </mc:Choice>
      <mc:Fallback xmlns="">
        <xdr:sp macro="" textlink="">
          <xdr:nvSpPr>
            <xdr:cNvPr id="10" name="テキスト ボックス 9">
              <a:extLst>
                <a:ext uri="{FF2B5EF4-FFF2-40B4-BE49-F238E27FC236}">
                  <a16:creationId xmlns:a16="http://schemas.microsoft.com/office/drawing/2014/main" id="{AEEDCE9D-DCA4-4810-82D1-AAEB279BB81F}"/>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𝐶_(𝑓,𝑚𝑎𝑥)={█(𝐶_(𝑓,𝑝),  </a:t>
              </a:r>
              <a:r>
                <a:rPr kumimoji="1" lang="ja-JP" altLang="en-US" sz="1600" b="0" i="0">
                  <a:latin typeface="Cambria Math" panose="02040503050406030204" pitchFamily="18" charset="0"/>
                </a:rPr>
                <a:t>　　</a:t>
              </a:r>
              <a:r>
                <a:rPr kumimoji="1" lang="en-US" altLang="ja-JP" sz="1600" b="0" i="0">
                  <a:latin typeface="Cambria Math" panose="02040503050406030204" pitchFamily="18" charset="0"/>
                </a:rPr>
                <a:t>        </a:t>
              </a:r>
              <a:r>
                <a:rPr kumimoji="1" lang="ja-JP" altLang="en-US" sz="1600" b="0" i="0">
                  <a:latin typeface="Cambria Math" panose="02040503050406030204" pitchFamily="18" charset="0"/>
                </a:rPr>
                <a:t>極大値がある場合@</a:t>
              </a:r>
              <a:r>
                <a:rPr kumimoji="1" lang="en-US" altLang="ja-JP" sz="1600" b="0" i="0">
                  <a:latin typeface="Cambria Math" panose="02040503050406030204" pitchFamily="18" charset="0"/>
                </a:rPr>
                <a:t>&amp;𝐶_(𝑓,𝑚𝑖𝑛,𝑠𝑎𝑚𝑝𝑙𝑒),  </a:t>
              </a:r>
              <a:r>
                <a:rPr kumimoji="1" lang="ja-JP" altLang="en-US" sz="1600" b="0" i="0">
                  <a:latin typeface="Cambria Math" panose="02040503050406030204" pitchFamily="18" charset="0"/>
                </a:rPr>
                <a:t>極大値がない場合)┤</a:t>
              </a:r>
              <a:endParaRPr kumimoji="1" lang="ja-JP" altLang="en-US" sz="1600" i="1"/>
            </a:p>
          </xdr:txBody>
        </xdr:sp>
      </mc:Fallback>
    </mc:AlternateContent>
    <xdr:clientData/>
  </xdr:oneCellAnchor>
  <xdr:twoCellAnchor>
    <xdr:from>
      <xdr:col>29</xdr:col>
      <xdr:colOff>0</xdr:colOff>
      <xdr:row>14</xdr:row>
      <xdr:rowOff>0</xdr:rowOff>
    </xdr:from>
    <xdr:to>
      <xdr:col>41</xdr:col>
      <xdr:colOff>0</xdr:colOff>
      <xdr:row>24</xdr:row>
      <xdr:rowOff>257174</xdr:rowOff>
    </xdr:to>
    <xdr:graphicFrame macro="">
      <xdr:nvGraphicFramePr>
        <xdr:cNvPr id="11" name="グラフ 10">
          <a:extLst>
            <a:ext uri="{FF2B5EF4-FFF2-40B4-BE49-F238E27FC236}">
              <a16:creationId xmlns:a16="http://schemas.microsoft.com/office/drawing/2014/main" id="{62C6A8C4-1139-41FF-9F7A-E48D399E4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0</xdr:rowOff>
    </xdr:from>
    <xdr:to>
      <xdr:col>41</xdr:col>
      <xdr:colOff>0</xdr:colOff>
      <xdr:row>36</xdr:row>
      <xdr:rowOff>257174</xdr:rowOff>
    </xdr:to>
    <xdr:graphicFrame macro="">
      <xdr:nvGraphicFramePr>
        <xdr:cNvPr id="12" name="グラフ 11">
          <a:extLst>
            <a:ext uri="{FF2B5EF4-FFF2-40B4-BE49-F238E27FC236}">
              <a16:creationId xmlns:a16="http://schemas.microsoft.com/office/drawing/2014/main" id="{8F6828BF-DA56-468B-845D-9EA9BD6BE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23</xdr:col>
      <xdr:colOff>0</xdr:colOff>
      <xdr:row>6</xdr:row>
      <xdr:rowOff>0</xdr:rowOff>
    </xdr:from>
    <xdr:ext cx="6961265" cy="558230"/>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42529995-A3CA-47DF-A66F-E3EF78E42456}"/>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𝑓</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𝑁</m:t>
                        </m:r>
                      </m:e>
                    </m:d>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e>
                    </m:d>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r>
                      <a:rPr kumimoji="1" lang="en-US" altLang="ja-JP" sz="1600" b="0" i="1">
                        <a:latin typeface="Cambria Math" panose="02040503050406030204" pitchFamily="18" charset="0"/>
                      </a:rPr>
                      <m:t>𝑁</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42529995-A3CA-47DF-A66F-E3EF78E42456}"/>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𝑓(𝑁)=(</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𝑁^4+(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 𝑁^3+((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 ) 𝑁^2+(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 𝑁+(</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23</xdr:col>
      <xdr:colOff>28575</xdr:colOff>
      <xdr:row>9</xdr:row>
      <xdr:rowOff>9525</xdr:rowOff>
    </xdr:from>
    <xdr:ext cx="1103122" cy="494110"/>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6133D704-776F-4769-A0A3-E710FFE176DF}"/>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4</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6133D704-776F-4769-A0A3-E710FFE176DF}"/>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𝑎_4=(</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a:t>
              </a:r>
              <a:endParaRPr kumimoji="1" lang="ja-JP" altLang="en-US" sz="1600" i="1"/>
            </a:p>
          </xdr:txBody>
        </xdr:sp>
      </mc:Fallback>
    </mc:AlternateContent>
    <xdr:clientData/>
  </xdr:oneCellAnchor>
  <xdr:oneCellAnchor>
    <xdr:from>
      <xdr:col>25</xdr:col>
      <xdr:colOff>771525</xdr:colOff>
      <xdr:row>9</xdr:row>
      <xdr:rowOff>66675</xdr:rowOff>
    </xdr:from>
    <xdr:ext cx="1002389" cy="421719"/>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C8F25636-0AE4-4F6F-9B9D-009365D21C48}"/>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C8F25636-0AE4-4F6F-9B9D-009365D21C48}"/>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a:t>
              </a:r>
              <a:endParaRPr kumimoji="1" lang="ja-JP" altLang="en-US" sz="1600" i="1"/>
            </a:p>
          </xdr:txBody>
        </xdr:sp>
      </mc:Fallback>
    </mc:AlternateContent>
    <xdr:clientData/>
  </xdr:oneCellAnchor>
  <xdr:oneCellAnchor>
    <xdr:from>
      <xdr:col>26</xdr:col>
      <xdr:colOff>1046741</xdr:colOff>
      <xdr:row>9</xdr:row>
      <xdr:rowOff>0</xdr:rowOff>
    </xdr:from>
    <xdr:ext cx="1746760" cy="53578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94F90747-DDA9-40DB-A59C-E9F7AA031B11}"/>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94F90747-DDA9-40DB-A59C-E9F7AA031B11}"/>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a:t>
              </a:r>
              <a:endParaRPr kumimoji="1" lang="ja-JP" altLang="en-US" sz="1600" i="1"/>
            </a:p>
          </xdr:txBody>
        </xdr:sp>
      </mc:Fallback>
    </mc:AlternateContent>
    <xdr:clientData/>
  </xdr:oneCellAnchor>
  <xdr:oneCellAnchor>
    <xdr:from>
      <xdr:col>23</xdr:col>
      <xdr:colOff>0</xdr:colOff>
      <xdr:row>11</xdr:row>
      <xdr:rowOff>0</xdr:rowOff>
    </xdr:from>
    <xdr:ext cx="1299779" cy="535788"/>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EA3105B3-4F32-482E-BD24-17EA1F522426}"/>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EA3105B3-4F32-482E-BD24-17EA1F522426}"/>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𝑎_1=(</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a:t>
              </a:r>
              <a:endParaRPr kumimoji="1" lang="ja-JP" altLang="en-US" sz="1600" i="1"/>
            </a:p>
          </xdr:txBody>
        </xdr:sp>
      </mc:Fallback>
    </mc:AlternateContent>
    <xdr:clientData/>
  </xdr:oneCellAnchor>
  <xdr:oneCellAnchor>
    <xdr:from>
      <xdr:col>26</xdr:col>
      <xdr:colOff>0</xdr:colOff>
      <xdr:row>11</xdr:row>
      <xdr:rowOff>0</xdr:rowOff>
    </xdr:from>
    <xdr:ext cx="1386855" cy="534762"/>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EFF83CE2-890B-40C8-9D83-6FAB68AE9AD8}"/>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EFF83CE2-890B-40C8-9D83-6FAB68AE9AD8}"/>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𝑎_0=(</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15</xdr:col>
      <xdr:colOff>0</xdr:colOff>
      <xdr:row>6</xdr:row>
      <xdr:rowOff>0</xdr:rowOff>
    </xdr:from>
    <xdr:ext cx="1212640" cy="463397"/>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CAE8585B-C4A4-43E8-B8CC-A231DC00D742}"/>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𝑟</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8" name="テキスト ボックス 7">
              <a:extLst>
                <a:ext uri="{FF2B5EF4-FFF2-40B4-BE49-F238E27FC236}">
                  <a16:creationId xmlns:a16="http://schemas.microsoft.com/office/drawing/2014/main" id="{CAE8585B-C4A4-43E8-B8CC-A231DC00D742}"/>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𝑁_𝑟 𝐷^3 )</a:t>
              </a:r>
              <a:endParaRPr kumimoji="1" lang="ja-JP" altLang="en-US" sz="1600" i="1"/>
            </a:p>
          </xdr:txBody>
        </xdr:sp>
      </mc:Fallback>
    </mc:AlternateContent>
    <xdr:clientData/>
  </xdr:oneCellAnchor>
  <xdr:oneCellAnchor>
    <xdr:from>
      <xdr:col>15</xdr:col>
      <xdr:colOff>0</xdr:colOff>
      <xdr:row>18</xdr:row>
      <xdr:rowOff>0</xdr:rowOff>
    </xdr:from>
    <xdr:ext cx="1997983" cy="266355"/>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D959013B-B85C-49AB-9EE6-3E3FF037E220}"/>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oMath>
                </m:oMathPara>
              </a14:m>
              <a:endParaRPr kumimoji="1" lang="ja-JP" altLang="en-US" sz="1600" i="1"/>
            </a:p>
          </xdr:txBody>
        </xdr:sp>
      </mc:Choice>
      <mc:Fallback xmlns="">
        <xdr:sp macro="" textlink="">
          <xdr:nvSpPr>
            <xdr:cNvPr id="9" name="テキスト ボックス 8">
              <a:extLst>
                <a:ext uri="{FF2B5EF4-FFF2-40B4-BE49-F238E27FC236}">
                  <a16:creationId xmlns:a16="http://schemas.microsoft.com/office/drawing/2014/main" id="{D959013B-B85C-49AB-9EE6-3E3FF037E220}"/>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𝐶_(𝑓,𝑚𝑎𝑥)=𝐶_(𝑓,𝑚𝑎𝑥,𝑠𝑎𝑚𝑝𝑙𝑒)</a:t>
              </a:r>
              <a:endParaRPr kumimoji="1" lang="ja-JP" altLang="en-US" sz="1600" i="1"/>
            </a:p>
          </xdr:txBody>
        </xdr:sp>
      </mc:Fallback>
    </mc:AlternateContent>
    <xdr:clientData/>
  </xdr:oneCellAnchor>
  <xdr:oneCellAnchor>
    <xdr:from>
      <xdr:col>15</xdr:col>
      <xdr:colOff>0</xdr:colOff>
      <xdr:row>11</xdr:row>
      <xdr:rowOff>0</xdr:rowOff>
    </xdr:from>
    <xdr:ext cx="4225387" cy="786113"/>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01A1129B-B938-47ED-9AA9-A073A5A7A95C}"/>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d>
                      <m:dPr>
                        <m:begChr m:val="{"/>
                        <m:endChr m:val=""/>
                        <m:ctrlPr>
                          <a:rPr kumimoji="1" lang="en-US" altLang="ja-JP" sz="1600" b="0" i="1">
                            <a:latin typeface="Cambria Math" panose="02040503050406030204" pitchFamily="18" charset="0"/>
                          </a:rPr>
                        </m:ctrlPr>
                      </m:dPr>
                      <m:e>
                        <m:eqArr>
                          <m:eqArrPr>
                            <m:ctrlPr>
                              <a:rPr kumimoji="1" lang="en-US" altLang="ja-JP" sz="1600" b="0" i="1">
                                <a:latin typeface="Cambria Math" panose="02040503050406030204" pitchFamily="18" charset="0"/>
                              </a:rPr>
                            </m:ctrlPr>
                          </m:eqArr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　　</m:t>
                            </m:r>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極大値がある場合</m:t>
                            </m:r>
                          </m:e>
                          <m:e>
                            <m:r>
                              <a:rPr kumimoji="1" lang="en-US" altLang="ja-JP" sz="1600" b="0" i="1">
                                <a:latin typeface="Cambria Math" panose="02040503050406030204" pitchFamily="18" charset="0"/>
                              </a:rPr>
                              <m:t>&amp;</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𝑚𝑖𝑛</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極大値がない場合</m:t>
                            </m:r>
                          </m:e>
                        </m:eqArr>
                      </m:e>
                    </m:d>
                  </m:oMath>
                </m:oMathPara>
              </a14:m>
              <a:endParaRPr kumimoji="1" lang="ja-JP" altLang="en-US" sz="1600" i="1"/>
            </a:p>
          </xdr:txBody>
        </xdr:sp>
      </mc:Choice>
      <mc:Fallback xmlns="">
        <xdr:sp macro="" textlink="">
          <xdr:nvSpPr>
            <xdr:cNvPr id="10" name="テキスト ボックス 9">
              <a:extLst>
                <a:ext uri="{FF2B5EF4-FFF2-40B4-BE49-F238E27FC236}">
                  <a16:creationId xmlns:a16="http://schemas.microsoft.com/office/drawing/2014/main" id="{01A1129B-B938-47ED-9AA9-A073A5A7A95C}"/>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𝐶_(𝑓,𝑚𝑎𝑥)={█(𝐶_(𝑓,𝑝),  </a:t>
              </a:r>
              <a:r>
                <a:rPr kumimoji="1" lang="ja-JP" altLang="en-US" sz="1600" b="0" i="0">
                  <a:latin typeface="Cambria Math" panose="02040503050406030204" pitchFamily="18" charset="0"/>
                </a:rPr>
                <a:t>　　</a:t>
              </a:r>
              <a:r>
                <a:rPr kumimoji="1" lang="en-US" altLang="ja-JP" sz="1600" b="0" i="0">
                  <a:latin typeface="Cambria Math" panose="02040503050406030204" pitchFamily="18" charset="0"/>
                </a:rPr>
                <a:t>        </a:t>
              </a:r>
              <a:r>
                <a:rPr kumimoji="1" lang="ja-JP" altLang="en-US" sz="1600" b="0" i="0">
                  <a:latin typeface="Cambria Math" panose="02040503050406030204" pitchFamily="18" charset="0"/>
                </a:rPr>
                <a:t>極大値がある場合@</a:t>
              </a:r>
              <a:r>
                <a:rPr kumimoji="1" lang="en-US" altLang="ja-JP" sz="1600" b="0" i="0">
                  <a:latin typeface="Cambria Math" panose="02040503050406030204" pitchFamily="18" charset="0"/>
                </a:rPr>
                <a:t>&amp;𝐶_(𝑓,𝑚𝑖𝑛,𝑠𝑎𝑚𝑝𝑙𝑒),  </a:t>
              </a:r>
              <a:r>
                <a:rPr kumimoji="1" lang="ja-JP" altLang="en-US" sz="1600" b="0" i="0">
                  <a:latin typeface="Cambria Math" panose="02040503050406030204" pitchFamily="18" charset="0"/>
                </a:rPr>
                <a:t>極大値がない場合)┤</a:t>
              </a:r>
              <a:endParaRPr kumimoji="1" lang="ja-JP" altLang="en-US" sz="1600" i="1"/>
            </a:p>
          </xdr:txBody>
        </xdr:sp>
      </mc:Fallback>
    </mc:AlternateContent>
    <xdr:clientData/>
  </xdr:oneCellAnchor>
  <xdr:twoCellAnchor>
    <xdr:from>
      <xdr:col>29</xdr:col>
      <xdr:colOff>0</xdr:colOff>
      <xdr:row>14</xdr:row>
      <xdr:rowOff>0</xdr:rowOff>
    </xdr:from>
    <xdr:to>
      <xdr:col>41</xdr:col>
      <xdr:colOff>0</xdr:colOff>
      <xdr:row>24</xdr:row>
      <xdr:rowOff>257174</xdr:rowOff>
    </xdr:to>
    <xdr:graphicFrame macro="">
      <xdr:nvGraphicFramePr>
        <xdr:cNvPr id="11" name="グラフ 10">
          <a:extLst>
            <a:ext uri="{FF2B5EF4-FFF2-40B4-BE49-F238E27FC236}">
              <a16:creationId xmlns:a16="http://schemas.microsoft.com/office/drawing/2014/main" id="{30711627-A3F1-46AE-93A7-2C83B18F1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0</xdr:rowOff>
    </xdr:from>
    <xdr:to>
      <xdr:col>41</xdr:col>
      <xdr:colOff>0</xdr:colOff>
      <xdr:row>36</xdr:row>
      <xdr:rowOff>257174</xdr:rowOff>
    </xdr:to>
    <xdr:graphicFrame macro="">
      <xdr:nvGraphicFramePr>
        <xdr:cNvPr id="12" name="グラフ 11">
          <a:extLst>
            <a:ext uri="{FF2B5EF4-FFF2-40B4-BE49-F238E27FC236}">
              <a16:creationId xmlns:a16="http://schemas.microsoft.com/office/drawing/2014/main" id="{6CE3B46B-6CE1-443F-9E1F-A54E9071E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12</xdr:row>
      <xdr:rowOff>0</xdr:rowOff>
    </xdr:from>
    <xdr:to>
      <xdr:col>37</xdr:col>
      <xdr:colOff>0</xdr:colOff>
      <xdr:row>21</xdr:row>
      <xdr:rowOff>19050</xdr:rowOff>
    </xdr:to>
    <xdr:graphicFrame macro="">
      <xdr:nvGraphicFramePr>
        <xdr:cNvPr id="2" name="グラフ 1">
          <a:extLst>
            <a:ext uri="{FF2B5EF4-FFF2-40B4-BE49-F238E27FC236}">
              <a16:creationId xmlns:a16="http://schemas.microsoft.com/office/drawing/2014/main" id="{7807EE05-0C65-475F-AA78-D2C10C3C0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22</xdr:row>
      <xdr:rowOff>0</xdr:rowOff>
    </xdr:from>
    <xdr:to>
      <xdr:col>37</xdr:col>
      <xdr:colOff>0</xdr:colOff>
      <xdr:row>31</xdr:row>
      <xdr:rowOff>0</xdr:rowOff>
    </xdr:to>
    <xdr:graphicFrame macro="">
      <xdr:nvGraphicFramePr>
        <xdr:cNvPr id="3" name="グラフ 2">
          <a:extLst>
            <a:ext uri="{FF2B5EF4-FFF2-40B4-BE49-F238E27FC236}">
              <a16:creationId xmlns:a16="http://schemas.microsoft.com/office/drawing/2014/main" id="{4778B687-82ED-4BC6-A8E4-C7B4142E3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23</xdr:col>
      <xdr:colOff>0</xdr:colOff>
      <xdr:row>6</xdr:row>
      <xdr:rowOff>0</xdr:rowOff>
    </xdr:from>
    <xdr:ext cx="6961265" cy="558230"/>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57E3C9D3-C5EF-494D-B9FA-FB9A99F6B8F5}"/>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𝑓</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𝑁</m:t>
                        </m:r>
                      </m:e>
                    </m:d>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e>
                    </m:d>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r>
                      <a:rPr kumimoji="1" lang="en-US" altLang="ja-JP" sz="1600" b="0" i="1">
                        <a:latin typeface="Cambria Math" panose="02040503050406030204" pitchFamily="18" charset="0"/>
                      </a:rPr>
                      <m:t>𝑁</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57E3C9D3-C5EF-494D-B9FA-FB9A99F6B8F5}"/>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𝑓(𝑁)=(</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𝑁^4+(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 𝑁^3+((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 ) 𝑁^2+(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 𝑁+(</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23</xdr:col>
      <xdr:colOff>28575</xdr:colOff>
      <xdr:row>9</xdr:row>
      <xdr:rowOff>9525</xdr:rowOff>
    </xdr:from>
    <xdr:ext cx="1103122" cy="494110"/>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A6469824-CD4C-41AD-B40D-3281E8A81A8D}"/>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4</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A6469824-CD4C-41AD-B40D-3281E8A81A8D}"/>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𝑎_4=(</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a:t>
              </a:r>
              <a:endParaRPr kumimoji="1" lang="ja-JP" altLang="en-US" sz="1600" i="1"/>
            </a:p>
          </xdr:txBody>
        </xdr:sp>
      </mc:Fallback>
    </mc:AlternateContent>
    <xdr:clientData/>
  </xdr:oneCellAnchor>
  <xdr:oneCellAnchor>
    <xdr:from>
      <xdr:col>25</xdr:col>
      <xdr:colOff>771525</xdr:colOff>
      <xdr:row>9</xdr:row>
      <xdr:rowOff>66675</xdr:rowOff>
    </xdr:from>
    <xdr:ext cx="1002389" cy="421719"/>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F0388DF9-E927-49A2-A8AC-48C747E3F867}"/>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F0388DF9-E927-49A2-A8AC-48C747E3F867}"/>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a:t>
              </a:r>
              <a:endParaRPr kumimoji="1" lang="ja-JP" altLang="en-US" sz="1600" i="1"/>
            </a:p>
          </xdr:txBody>
        </xdr:sp>
      </mc:Fallback>
    </mc:AlternateContent>
    <xdr:clientData/>
  </xdr:oneCellAnchor>
  <xdr:oneCellAnchor>
    <xdr:from>
      <xdr:col>26</xdr:col>
      <xdr:colOff>1046741</xdr:colOff>
      <xdr:row>9</xdr:row>
      <xdr:rowOff>0</xdr:rowOff>
    </xdr:from>
    <xdr:ext cx="1746760" cy="53578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D232659F-4ED5-4B07-9A4B-66B4B7BE798D}"/>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D232659F-4ED5-4B07-9A4B-66B4B7BE798D}"/>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a:t>
              </a:r>
              <a:endParaRPr kumimoji="1" lang="ja-JP" altLang="en-US" sz="1600" i="1"/>
            </a:p>
          </xdr:txBody>
        </xdr:sp>
      </mc:Fallback>
    </mc:AlternateContent>
    <xdr:clientData/>
  </xdr:oneCellAnchor>
  <xdr:oneCellAnchor>
    <xdr:from>
      <xdr:col>23</xdr:col>
      <xdr:colOff>0</xdr:colOff>
      <xdr:row>11</xdr:row>
      <xdr:rowOff>0</xdr:rowOff>
    </xdr:from>
    <xdr:ext cx="1299779" cy="535788"/>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DAE4F20A-096E-4C2F-B3DD-51F06680EC5D}"/>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DAE4F20A-096E-4C2F-B3DD-51F06680EC5D}"/>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𝑎_1=(</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a:t>
              </a:r>
              <a:endParaRPr kumimoji="1" lang="ja-JP" altLang="en-US" sz="1600" i="1"/>
            </a:p>
          </xdr:txBody>
        </xdr:sp>
      </mc:Fallback>
    </mc:AlternateContent>
    <xdr:clientData/>
  </xdr:oneCellAnchor>
  <xdr:oneCellAnchor>
    <xdr:from>
      <xdr:col>26</xdr:col>
      <xdr:colOff>0</xdr:colOff>
      <xdr:row>11</xdr:row>
      <xdr:rowOff>0</xdr:rowOff>
    </xdr:from>
    <xdr:ext cx="1386855" cy="534762"/>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DA6E2C28-0A6D-4B54-BAE5-56FEF2A69B59}"/>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DA6E2C28-0A6D-4B54-BAE5-56FEF2A69B59}"/>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𝑎_0=(</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15</xdr:col>
      <xdr:colOff>0</xdr:colOff>
      <xdr:row>6</xdr:row>
      <xdr:rowOff>0</xdr:rowOff>
    </xdr:from>
    <xdr:ext cx="1212640" cy="463397"/>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9795D3EF-EEDF-4FEB-80AB-5A8C0DC331B0}"/>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𝑟</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8" name="テキスト ボックス 7">
              <a:extLst>
                <a:ext uri="{FF2B5EF4-FFF2-40B4-BE49-F238E27FC236}">
                  <a16:creationId xmlns:a16="http://schemas.microsoft.com/office/drawing/2014/main" id="{9795D3EF-EEDF-4FEB-80AB-5A8C0DC331B0}"/>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𝑁_𝑟 𝐷^3 )</a:t>
              </a:r>
              <a:endParaRPr kumimoji="1" lang="ja-JP" altLang="en-US" sz="1600" i="1"/>
            </a:p>
          </xdr:txBody>
        </xdr:sp>
      </mc:Fallback>
    </mc:AlternateContent>
    <xdr:clientData/>
  </xdr:oneCellAnchor>
  <xdr:oneCellAnchor>
    <xdr:from>
      <xdr:col>15</xdr:col>
      <xdr:colOff>0</xdr:colOff>
      <xdr:row>18</xdr:row>
      <xdr:rowOff>0</xdr:rowOff>
    </xdr:from>
    <xdr:ext cx="1997983" cy="266355"/>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38A9F532-D40C-49ED-8B06-7B675BE7CDDA}"/>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oMath>
                </m:oMathPara>
              </a14:m>
              <a:endParaRPr kumimoji="1" lang="ja-JP" altLang="en-US" sz="1600" i="1"/>
            </a:p>
          </xdr:txBody>
        </xdr:sp>
      </mc:Choice>
      <mc:Fallback xmlns="">
        <xdr:sp macro="" textlink="">
          <xdr:nvSpPr>
            <xdr:cNvPr id="9" name="テキスト ボックス 8">
              <a:extLst>
                <a:ext uri="{FF2B5EF4-FFF2-40B4-BE49-F238E27FC236}">
                  <a16:creationId xmlns:a16="http://schemas.microsoft.com/office/drawing/2014/main" id="{38A9F532-D40C-49ED-8B06-7B675BE7CDDA}"/>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𝐶_(𝑓,𝑚𝑎𝑥)=𝐶_(𝑓,𝑚𝑎𝑥,𝑠𝑎𝑚𝑝𝑙𝑒)</a:t>
              </a:r>
              <a:endParaRPr kumimoji="1" lang="ja-JP" altLang="en-US" sz="1600" i="1"/>
            </a:p>
          </xdr:txBody>
        </xdr:sp>
      </mc:Fallback>
    </mc:AlternateContent>
    <xdr:clientData/>
  </xdr:oneCellAnchor>
  <xdr:oneCellAnchor>
    <xdr:from>
      <xdr:col>15</xdr:col>
      <xdr:colOff>0</xdr:colOff>
      <xdr:row>11</xdr:row>
      <xdr:rowOff>0</xdr:rowOff>
    </xdr:from>
    <xdr:ext cx="4225387" cy="786113"/>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5470BEC7-E168-441D-814E-65F8567860C8}"/>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d>
                      <m:dPr>
                        <m:begChr m:val="{"/>
                        <m:endChr m:val=""/>
                        <m:ctrlPr>
                          <a:rPr kumimoji="1" lang="en-US" altLang="ja-JP" sz="1600" b="0" i="1">
                            <a:latin typeface="Cambria Math" panose="02040503050406030204" pitchFamily="18" charset="0"/>
                          </a:rPr>
                        </m:ctrlPr>
                      </m:dPr>
                      <m:e>
                        <m:eqArr>
                          <m:eqArrPr>
                            <m:ctrlPr>
                              <a:rPr kumimoji="1" lang="en-US" altLang="ja-JP" sz="1600" b="0" i="1">
                                <a:latin typeface="Cambria Math" panose="02040503050406030204" pitchFamily="18" charset="0"/>
                              </a:rPr>
                            </m:ctrlPr>
                          </m:eqArr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　　</m:t>
                            </m:r>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極大値がある場合</m:t>
                            </m:r>
                          </m:e>
                          <m:e>
                            <m:r>
                              <a:rPr kumimoji="1" lang="en-US" altLang="ja-JP" sz="1600" b="0" i="1">
                                <a:latin typeface="Cambria Math" panose="02040503050406030204" pitchFamily="18" charset="0"/>
                              </a:rPr>
                              <m:t>&amp;</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𝑚𝑖𝑛</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極大値がない場合</m:t>
                            </m:r>
                          </m:e>
                        </m:eqArr>
                      </m:e>
                    </m:d>
                  </m:oMath>
                </m:oMathPara>
              </a14:m>
              <a:endParaRPr kumimoji="1" lang="ja-JP" altLang="en-US" sz="1600" i="1"/>
            </a:p>
          </xdr:txBody>
        </xdr:sp>
      </mc:Choice>
      <mc:Fallback xmlns="">
        <xdr:sp macro="" textlink="">
          <xdr:nvSpPr>
            <xdr:cNvPr id="10" name="テキスト ボックス 9">
              <a:extLst>
                <a:ext uri="{FF2B5EF4-FFF2-40B4-BE49-F238E27FC236}">
                  <a16:creationId xmlns:a16="http://schemas.microsoft.com/office/drawing/2014/main" id="{5470BEC7-E168-441D-814E-65F8567860C8}"/>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𝐶_(𝑓,𝑚𝑎𝑥)={█(𝐶_(𝑓,𝑝),  </a:t>
              </a:r>
              <a:r>
                <a:rPr kumimoji="1" lang="ja-JP" altLang="en-US" sz="1600" b="0" i="0">
                  <a:latin typeface="Cambria Math" panose="02040503050406030204" pitchFamily="18" charset="0"/>
                </a:rPr>
                <a:t>　　</a:t>
              </a:r>
              <a:r>
                <a:rPr kumimoji="1" lang="en-US" altLang="ja-JP" sz="1600" b="0" i="0">
                  <a:latin typeface="Cambria Math" panose="02040503050406030204" pitchFamily="18" charset="0"/>
                </a:rPr>
                <a:t>        </a:t>
              </a:r>
              <a:r>
                <a:rPr kumimoji="1" lang="ja-JP" altLang="en-US" sz="1600" b="0" i="0">
                  <a:latin typeface="Cambria Math" panose="02040503050406030204" pitchFamily="18" charset="0"/>
                </a:rPr>
                <a:t>極大値がある場合@</a:t>
              </a:r>
              <a:r>
                <a:rPr kumimoji="1" lang="en-US" altLang="ja-JP" sz="1600" b="0" i="0">
                  <a:latin typeface="Cambria Math" panose="02040503050406030204" pitchFamily="18" charset="0"/>
                </a:rPr>
                <a:t>&amp;𝐶_(𝑓,𝑚𝑖𝑛,𝑠𝑎𝑚𝑝𝑙𝑒),  </a:t>
              </a:r>
              <a:r>
                <a:rPr kumimoji="1" lang="ja-JP" altLang="en-US" sz="1600" b="0" i="0">
                  <a:latin typeface="Cambria Math" panose="02040503050406030204" pitchFamily="18" charset="0"/>
                </a:rPr>
                <a:t>極大値がない場合)┤</a:t>
              </a:r>
              <a:endParaRPr kumimoji="1" lang="ja-JP" altLang="en-US" sz="1600" i="1"/>
            </a:p>
          </xdr:txBody>
        </xdr:sp>
      </mc:Fallback>
    </mc:AlternateContent>
    <xdr:clientData/>
  </xdr:oneCellAnchor>
  <xdr:twoCellAnchor>
    <xdr:from>
      <xdr:col>29</xdr:col>
      <xdr:colOff>0</xdr:colOff>
      <xdr:row>14</xdr:row>
      <xdr:rowOff>0</xdr:rowOff>
    </xdr:from>
    <xdr:to>
      <xdr:col>41</xdr:col>
      <xdr:colOff>0</xdr:colOff>
      <xdr:row>24</xdr:row>
      <xdr:rowOff>257174</xdr:rowOff>
    </xdr:to>
    <xdr:graphicFrame macro="">
      <xdr:nvGraphicFramePr>
        <xdr:cNvPr id="11" name="グラフ 10">
          <a:extLst>
            <a:ext uri="{FF2B5EF4-FFF2-40B4-BE49-F238E27FC236}">
              <a16:creationId xmlns:a16="http://schemas.microsoft.com/office/drawing/2014/main" id="{2D6E4C7B-2591-4D9D-A3EE-38B51C2DC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0</xdr:rowOff>
    </xdr:from>
    <xdr:to>
      <xdr:col>41</xdr:col>
      <xdr:colOff>0</xdr:colOff>
      <xdr:row>36</xdr:row>
      <xdr:rowOff>257174</xdr:rowOff>
    </xdr:to>
    <xdr:graphicFrame macro="">
      <xdr:nvGraphicFramePr>
        <xdr:cNvPr id="12" name="グラフ 11">
          <a:extLst>
            <a:ext uri="{FF2B5EF4-FFF2-40B4-BE49-F238E27FC236}">
              <a16:creationId xmlns:a16="http://schemas.microsoft.com/office/drawing/2014/main" id="{73E6FC27-58E6-495F-9ABD-CB691EBCD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23</xdr:col>
      <xdr:colOff>0</xdr:colOff>
      <xdr:row>6</xdr:row>
      <xdr:rowOff>0</xdr:rowOff>
    </xdr:from>
    <xdr:ext cx="6961265" cy="558230"/>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DAC2C3DA-308E-4EB0-B6F7-02D95623B45E}"/>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𝑓</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𝑁</m:t>
                        </m:r>
                      </m:e>
                    </m:d>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e>
                    </m:d>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r>
                      <a:rPr kumimoji="1" lang="en-US" altLang="ja-JP" sz="1600" b="0" i="1">
                        <a:latin typeface="Cambria Math" panose="02040503050406030204" pitchFamily="18" charset="0"/>
                      </a:rPr>
                      <m:t>𝑁</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DAC2C3DA-308E-4EB0-B6F7-02D95623B45E}"/>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𝑓(𝑁)=(</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𝑁^4+(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 𝑁^3+((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 ) 𝑁^2+(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 𝑁+(</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23</xdr:col>
      <xdr:colOff>28575</xdr:colOff>
      <xdr:row>9</xdr:row>
      <xdr:rowOff>9525</xdr:rowOff>
    </xdr:from>
    <xdr:ext cx="1103122" cy="494110"/>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7E2E4601-B834-4621-AB81-BD621BB9FFE4}"/>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4</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7E2E4601-B834-4621-AB81-BD621BB9FFE4}"/>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𝑎_4=(</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a:t>
              </a:r>
              <a:endParaRPr kumimoji="1" lang="ja-JP" altLang="en-US" sz="1600" i="1"/>
            </a:p>
          </xdr:txBody>
        </xdr:sp>
      </mc:Fallback>
    </mc:AlternateContent>
    <xdr:clientData/>
  </xdr:oneCellAnchor>
  <xdr:oneCellAnchor>
    <xdr:from>
      <xdr:col>25</xdr:col>
      <xdr:colOff>771525</xdr:colOff>
      <xdr:row>9</xdr:row>
      <xdr:rowOff>66675</xdr:rowOff>
    </xdr:from>
    <xdr:ext cx="1002389" cy="421719"/>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6CC13A43-A383-4F0E-A484-1A3A97162AC5}"/>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6CC13A43-A383-4F0E-A484-1A3A97162AC5}"/>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a:t>
              </a:r>
              <a:endParaRPr kumimoji="1" lang="ja-JP" altLang="en-US" sz="1600" i="1"/>
            </a:p>
          </xdr:txBody>
        </xdr:sp>
      </mc:Fallback>
    </mc:AlternateContent>
    <xdr:clientData/>
  </xdr:oneCellAnchor>
  <xdr:oneCellAnchor>
    <xdr:from>
      <xdr:col>26</xdr:col>
      <xdr:colOff>1046741</xdr:colOff>
      <xdr:row>9</xdr:row>
      <xdr:rowOff>0</xdr:rowOff>
    </xdr:from>
    <xdr:ext cx="1746760" cy="53578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1B1223CD-72A4-4836-B670-E5316EF77CEB}"/>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1B1223CD-72A4-4836-B670-E5316EF77CEB}"/>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a:t>
              </a:r>
              <a:endParaRPr kumimoji="1" lang="ja-JP" altLang="en-US" sz="1600" i="1"/>
            </a:p>
          </xdr:txBody>
        </xdr:sp>
      </mc:Fallback>
    </mc:AlternateContent>
    <xdr:clientData/>
  </xdr:oneCellAnchor>
  <xdr:oneCellAnchor>
    <xdr:from>
      <xdr:col>23</xdr:col>
      <xdr:colOff>0</xdr:colOff>
      <xdr:row>11</xdr:row>
      <xdr:rowOff>0</xdr:rowOff>
    </xdr:from>
    <xdr:ext cx="1299779" cy="535788"/>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BE29CFD4-06BE-482D-B7DB-75B0114A3D7D}"/>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BE29CFD4-06BE-482D-B7DB-75B0114A3D7D}"/>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𝑎_1=(</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a:t>
              </a:r>
              <a:endParaRPr kumimoji="1" lang="ja-JP" altLang="en-US" sz="1600" i="1"/>
            </a:p>
          </xdr:txBody>
        </xdr:sp>
      </mc:Fallback>
    </mc:AlternateContent>
    <xdr:clientData/>
  </xdr:oneCellAnchor>
  <xdr:oneCellAnchor>
    <xdr:from>
      <xdr:col>26</xdr:col>
      <xdr:colOff>0</xdr:colOff>
      <xdr:row>11</xdr:row>
      <xdr:rowOff>0</xdr:rowOff>
    </xdr:from>
    <xdr:ext cx="1386855" cy="534762"/>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34BDA7EF-65F7-4D49-84A1-EC7B10A97B1A}"/>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34BDA7EF-65F7-4D49-84A1-EC7B10A97B1A}"/>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𝑎_0=(</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15</xdr:col>
      <xdr:colOff>0</xdr:colOff>
      <xdr:row>6</xdr:row>
      <xdr:rowOff>0</xdr:rowOff>
    </xdr:from>
    <xdr:ext cx="1212640" cy="463397"/>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D5AE9A8D-1B74-445B-8699-5A0470788878}"/>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𝑟</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8" name="テキスト ボックス 7">
              <a:extLst>
                <a:ext uri="{FF2B5EF4-FFF2-40B4-BE49-F238E27FC236}">
                  <a16:creationId xmlns:a16="http://schemas.microsoft.com/office/drawing/2014/main" id="{D5AE9A8D-1B74-445B-8699-5A0470788878}"/>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𝑁_𝑟 𝐷^3 )</a:t>
              </a:r>
              <a:endParaRPr kumimoji="1" lang="ja-JP" altLang="en-US" sz="1600" i="1"/>
            </a:p>
          </xdr:txBody>
        </xdr:sp>
      </mc:Fallback>
    </mc:AlternateContent>
    <xdr:clientData/>
  </xdr:oneCellAnchor>
  <xdr:oneCellAnchor>
    <xdr:from>
      <xdr:col>15</xdr:col>
      <xdr:colOff>0</xdr:colOff>
      <xdr:row>18</xdr:row>
      <xdr:rowOff>0</xdr:rowOff>
    </xdr:from>
    <xdr:ext cx="1997983" cy="266355"/>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E29C195B-5CE6-43D2-9047-D9848A73A525}"/>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oMath>
                </m:oMathPara>
              </a14:m>
              <a:endParaRPr kumimoji="1" lang="ja-JP" altLang="en-US" sz="1600" i="1"/>
            </a:p>
          </xdr:txBody>
        </xdr:sp>
      </mc:Choice>
      <mc:Fallback xmlns="">
        <xdr:sp macro="" textlink="">
          <xdr:nvSpPr>
            <xdr:cNvPr id="9" name="テキスト ボックス 8">
              <a:extLst>
                <a:ext uri="{FF2B5EF4-FFF2-40B4-BE49-F238E27FC236}">
                  <a16:creationId xmlns:a16="http://schemas.microsoft.com/office/drawing/2014/main" id="{E29C195B-5CE6-43D2-9047-D9848A73A525}"/>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𝐶_(𝑓,𝑚𝑎𝑥)=𝐶_(𝑓,𝑚𝑎𝑥,𝑠𝑎𝑚𝑝𝑙𝑒)</a:t>
              </a:r>
              <a:endParaRPr kumimoji="1" lang="ja-JP" altLang="en-US" sz="1600" i="1"/>
            </a:p>
          </xdr:txBody>
        </xdr:sp>
      </mc:Fallback>
    </mc:AlternateContent>
    <xdr:clientData/>
  </xdr:oneCellAnchor>
  <xdr:oneCellAnchor>
    <xdr:from>
      <xdr:col>15</xdr:col>
      <xdr:colOff>0</xdr:colOff>
      <xdr:row>11</xdr:row>
      <xdr:rowOff>0</xdr:rowOff>
    </xdr:from>
    <xdr:ext cx="4225387" cy="786113"/>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3054F715-DB0B-4B89-9804-0A31102BC158}"/>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d>
                      <m:dPr>
                        <m:begChr m:val="{"/>
                        <m:endChr m:val=""/>
                        <m:ctrlPr>
                          <a:rPr kumimoji="1" lang="en-US" altLang="ja-JP" sz="1600" b="0" i="1">
                            <a:latin typeface="Cambria Math" panose="02040503050406030204" pitchFamily="18" charset="0"/>
                          </a:rPr>
                        </m:ctrlPr>
                      </m:dPr>
                      <m:e>
                        <m:eqArr>
                          <m:eqArrPr>
                            <m:ctrlPr>
                              <a:rPr kumimoji="1" lang="en-US" altLang="ja-JP" sz="1600" b="0" i="1">
                                <a:latin typeface="Cambria Math" panose="02040503050406030204" pitchFamily="18" charset="0"/>
                              </a:rPr>
                            </m:ctrlPr>
                          </m:eqArr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　　</m:t>
                            </m:r>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極大値がある場合</m:t>
                            </m:r>
                          </m:e>
                          <m:e>
                            <m:r>
                              <a:rPr kumimoji="1" lang="en-US" altLang="ja-JP" sz="1600" b="0" i="1">
                                <a:latin typeface="Cambria Math" panose="02040503050406030204" pitchFamily="18" charset="0"/>
                              </a:rPr>
                              <m:t>&amp;</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𝑚𝑖𝑛</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極大値がない場合</m:t>
                            </m:r>
                          </m:e>
                        </m:eqArr>
                      </m:e>
                    </m:d>
                  </m:oMath>
                </m:oMathPara>
              </a14:m>
              <a:endParaRPr kumimoji="1" lang="ja-JP" altLang="en-US" sz="1600" i="1"/>
            </a:p>
          </xdr:txBody>
        </xdr:sp>
      </mc:Choice>
      <mc:Fallback xmlns="">
        <xdr:sp macro="" textlink="">
          <xdr:nvSpPr>
            <xdr:cNvPr id="10" name="テキスト ボックス 9">
              <a:extLst>
                <a:ext uri="{FF2B5EF4-FFF2-40B4-BE49-F238E27FC236}">
                  <a16:creationId xmlns:a16="http://schemas.microsoft.com/office/drawing/2014/main" id="{3054F715-DB0B-4B89-9804-0A31102BC158}"/>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𝐶_(𝑓,𝑚𝑎𝑥)={█(𝐶_(𝑓,𝑝),  </a:t>
              </a:r>
              <a:r>
                <a:rPr kumimoji="1" lang="ja-JP" altLang="en-US" sz="1600" b="0" i="0">
                  <a:latin typeface="Cambria Math" panose="02040503050406030204" pitchFamily="18" charset="0"/>
                </a:rPr>
                <a:t>　　</a:t>
              </a:r>
              <a:r>
                <a:rPr kumimoji="1" lang="en-US" altLang="ja-JP" sz="1600" b="0" i="0">
                  <a:latin typeface="Cambria Math" panose="02040503050406030204" pitchFamily="18" charset="0"/>
                </a:rPr>
                <a:t>        </a:t>
              </a:r>
              <a:r>
                <a:rPr kumimoji="1" lang="ja-JP" altLang="en-US" sz="1600" b="0" i="0">
                  <a:latin typeface="Cambria Math" panose="02040503050406030204" pitchFamily="18" charset="0"/>
                </a:rPr>
                <a:t>極大値がある場合@</a:t>
              </a:r>
              <a:r>
                <a:rPr kumimoji="1" lang="en-US" altLang="ja-JP" sz="1600" b="0" i="0">
                  <a:latin typeface="Cambria Math" panose="02040503050406030204" pitchFamily="18" charset="0"/>
                </a:rPr>
                <a:t>&amp;𝐶_(𝑓,𝑚𝑖𝑛,𝑠𝑎𝑚𝑝𝑙𝑒),  </a:t>
              </a:r>
              <a:r>
                <a:rPr kumimoji="1" lang="ja-JP" altLang="en-US" sz="1600" b="0" i="0">
                  <a:latin typeface="Cambria Math" panose="02040503050406030204" pitchFamily="18" charset="0"/>
                </a:rPr>
                <a:t>極大値がない場合)┤</a:t>
              </a:r>
              <a:endParaRPr kumimoji="1" lang="ja-JP" altLang="en-US" sz="1600" i="1"/>
            </a:p>
          </xdr:txBody>
        </xdr:sp>
      </mc:Fallback>
    </mc:AlternateContent>
    <xdr:clientData/>
  </xdr:oneCellAnchor>
  <xdr:twoCellAnchor>
    <xdr:from>
      <xdr:col>29</xdr:col>
      <xdr:colOff>0</xdr:colOff>
      <xdr:row>14</xdr:row>
      <xdr:rowOff>0</xdr:rowOff>
    </xdr:from>
    <xdr:to>
      <xdr:col>41</xdr:col>
      <xdr:colOff>0</xdr:colOff>
      <xdr:row>24</xdr:row>
      <xdr:rowOff>257174</xdr:rowOff>
    </xdr:to>
    <xdr:graphicFrame macro="">
      <xdr:nvGraphicFramePr>
        <xdr:cNvPr id="11" name="グラフ 10">
          <a:extLst>
            <a:ext uri="{FF2B5EF4-FFF2-40B4-BE49-F238E27FC236}">
              <a16:creationId xmlns:a16="http://schemas.microsoft.com/office/drawing/2014/main" id="{19488B80-CEB6-452C-87B1-E50936ADB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0</xdr:rowOff>
    </xdr:from>
    <xdr:to>
      <xdr:col>41</xdr:col>
      <xdr:colOff>0</xdr:colOff>
      <xdr:row>36</xdr:row>
      <xdr:rowOff>257174</xdr:rowOff>
    </xdr:to>
    <xdr:graphicFrame macro="">
      <xdr:nvGraphicFramePr>
        <xdr:cNvPr id="12" name="グラフ 11">
          <a:extLst>
            <a:ext uri="{FF2B5EF4-FFF2-40B4-BE49-F238E27FC236}">
              <a16:creationId xmlns:a16="http://schemas.microsoft.com/office/drawing/2014/main" id="{0E565581-BDCC-49C8-9F9E-42F2FAF3A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23</xdr:col>
      <xdr:colOff>0</xdr:colOff>
      <xdr:row>6</xdr:row>
      <xdr:rowOff>0</xdr:rowOff>
    </xdr:from>
    <xdr:ext cx="6961265" cy="558230"/>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CE362786-C069-42B3-B9E5-DF7C0934FE72}"/>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𝑓</m:t>
                    </m:r>
                    <m:d>
                      <m:dPr>
                        <m:ctrlPr>
                          <a:rPr kumimoji="1" lang="en-US" altLang="ja-JP" sz="1600" b="0" i="1">
                            <a:latin typeface="Cambria Math" panose="02040503050406030204" pitchFamily="18" charset="0"/>
                          </a:rPr>
                        </m:ctrlPr>
                      </m:dPr>
                      <m:e>
                        <m:r>
                          <a:rPr kumimoji="1" lang="en-US" altLang="ja-JP" sz="1600" b="0" i="1">
                            <a:latin typeface="Cambria Math" panose="02040503050406030204" pitchFamily="18" charset="0"/>
                          </a:rPr>
                          <m:t>𝑁</m:t>
                        </m:r>
                      </m:e>
                    </m:d>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m:t>
                    </m:r>
                    <m:d>
                      <m:dPr>
                        <m:ctrlPr>
                          <a:rPr kumimoji="1" lang="en-US" altLang="ja-JP" sz="1600" b="0" i="1">
                            <a:latin typeface="Cambria Math" panose="02040503050406030204" pitchFamily="18" charset="0"/>
                          </a:rPr>
                        </m:ctrlPr>
                      </m:dPr>
                      <m:e>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e>
                    </m:d>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𝑁</m:t>
                        </m:r>
                      </m:e>
                      <m:sup>
                        <m:r>
                          <a:rPr kumimoji="1" lang="en-US" altLang="ja-JP" sz="1600" b="0" i="1">
                            <a:latin typeface="Cambria Math" panose="02040503050406030204" pitchFamily="18" charset="0"/>
                          </a:rPr>
                          <m:t>2</m:t>
                        </m:r>
                      </m:sup>
                    </m:sSup>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r>
                      <a:rPr kumimoji="1" lang="en-US" altLang="ja-JP" sz="1600" b="0" i="1">
                        <a:latin typeface="Cambria Math" panose="02040503050406030204" pitchFamily="18" charset="0"/>
                      </a:rPr>
                      <m:t>𝑁</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CE362786-C069-42B3-B9E5-DF7C0934FE72}"/>
                </a:ext>
              </a:extLst>
            </xdr:cNvPr>
            <xdr:cNvSpPr txBox="1"/>
          </xdr:nvSpPr>
          <xdr:spPr>
            <a:xfrm>
              <a:off x="14582775" y="1504950"/>
              <a:ext cx="6961265" cy="55823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𝑓(𝑁)=(</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𝑁^4+(</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 𝑁^3+((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 ) 𝑁^2+(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 𝑁+(</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23</xdr:col>
      <xdr:colOff>28575</xdr:colOff>
      <xdr:row>9</xdr:row>
      <xdr:rowOff>9525</xdr:rowOff>
    </xdr:from>
    <xdr:ext cx="1103122" cy="494110"/>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C19F75D2-2333-4075-8C6A-A8B4BFB5577D}"/>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4</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2</m:t>
                            </m:r>
                          </m:sup>
                        </m:sSup>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5</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C19F75D2-2333-4075-8C6A-A8B4BFB5577D}"/>
                </a:ext>
              </a:extLst>
            </xdr:cNvPr>
            <xdr:cNvSpPr txBox="1"/>
          </xdr:nvSpPr>
          <xdr:spPr>
            <a:xfrm>
              <a:off x="14611350" y="2286000"/>
              <a:ext cx="1103122" cy="494110"/>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𝑎_4=(</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𝐷^2 </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_5)/10^3 </a:t>
              </a:r>
              <a:endParaRPr kumimoji="1" lang="ja-JP" altLang="en-US" sz="1600" i="1"/>
            </a:p>
          </xdr:txBody>
        </xdr:sp>
      </mc:Fallback>
    </mc:AlternateContent>
    <xdr:clientData/>
  </xdr:oneCellAnchor>
  <xdr:oneCellAnchor>
    <xdr:from>
      <xdr:col>25</xdr:col>
      <xdr:colOff>771525</xdr:colOff>
      <xdr:row>9</xdr:row>
      <xdr:rowOff>66675</xdr:rowOff>
    </xdr:from>
    <xdr:ext cx="1002389" cy="421719"/>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C465F8A9-01D5-4300-9687-1821D97C7371}"/>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3</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4</m:t>
                            </m:r>
                          </m:sub>
                        </m:sSub>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en-US" altLang="ja-JP" sz="1600" b="0" i="1">
                            <a:latin typeface="Cambria Math" panose="02040503050406030204" pitchFamily="18" charset="0"/>
                          </a:rPr>
                          <m:t>𝐷</m:t>
                        </m:r>
                      </m:den>
                    </m:f>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C465F8A9-01D5-4300-9687-1821D97C7371}"/>
                </a:ext>
              </a:extLst>
            </xdr:cNvPr>
            <xdr:cNvSpPr txBox="1"/>
          </xdr:nvSpPr>
          <xdr:spPr>
            <a:xfrm>
              <a:off x="15868650" y="2343150"/>
              <a:ext cx="1002389" cy="421719"/>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𝑎_3=(</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_4 𝑚_𝑐)/(10^3 𝐷)</a:t>
              </a:r>
              <a:endParaRPr kumimoji="1" lang="ja-JP" altLang="en-US" sz="1600" i="1"/>
            </a:p>
          </xdr:txBody>
        </xdr:sp>
      </mc:Fallback>
    </mc:AlternateContent>
    <xdr:clientData/>
  </xdr:oneCellAnchor>
  <xdr:oneCellAnchor>
    <xdr:from>
      <xdr:col>26</xdr:col>
      <xdr:colOff>1046741</xdr:colOff>
      <xdr:row>9</xdr:row>
      <xdr:rowOff>0</xdr:rowOff>
    </xdr:from>
    <xdr:ext cx="1746760" cy="53578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70EC2B0D-2258-4411-8026-E5533E9870E8}"/>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2</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3</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2</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4</m:t>
                            </m:r>
                          </m:sup>
                        </m:sSup>
                      </m:den>
                    </m:f>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𝑑𝑃</m:t>
                        </m:r>
                      </m:e>
                      <m:sub>
                        <m:r>
                          <a:rPr kumimoji="1" lang="en-US" altLang="ja-JP" sz="1600" b="0" i="1">
                            <a:latin typeface="Cambria Math" panose="02040503050406030204" pitchFamily="18" charset="0"/>
                          </a:rPr>
                          <m:t>𝑐</m:t>
                        </m:r>
                      </m:sub>
                    </m:sSub>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70EC2B0D-2258-4411-8026-E5533E9870E8}"/>
                </a:ext>
              </a:extLst>
            </xdr:cNvPr>
            <xdr:cNvSpPr txBox="1"/>
          </xdr:nvSpPr>
          <xdr:spPr>
            <a:xfrm>
              <a:off x="17772641" y="2276475"/>
              <a:ext cx="1746760"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𝑎_2=(</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_3 〖𝑚_𝑐〗^2)/(10^3</a:t>
              </a:r>
              <a:r>
                <a:rPr kumimoji="1" lang="ja-JP" altLang="en-US" sz="1600" b="0" i="0">
                  <a:latin typeface="Cambria Math" panose="02040503050406030204" pitchFamily="18" charset="0"/>
                </a:rPr>
                <a:t> 𝜌</a:t>
              </a:r>
              <a:r>
                <a:rPr kumimoji="1" lang="en-US" altLang="ja-JP" sz="1600" b="0" i="0">
                  <a:latin typeface="Cambria Math" panose="02040503050406030204" pitchFamily="18" charset="0"/>
                </a:rPr>
                <a:t>𝐷^4 )−〖𝑑𝑃〗_𝑐</a:t>
              </a:r>
              <a:endParaRPr kumimoji="1" lang="ja-JP" altLang="en-US" sz="1600" i="1"/>
            </a:p>
          </xdr:txBody>
        </xdr:sp>
      </mc:Fallback>
    </mc:AlternateContent>
    <xdr:clientData/>
  </xdr:oneCellAnchor>
  <xdr:oneCellAnchor>
    <xdr:from>
      <xdr:col>23</xdr:col>
      <xdr:colOff>0</xdr:colOff>
      <xdr:row>11</xdr:row>
      <xdr:rowOff>0</xdr:rowOff>
    </xdr:from>
    <xdr:ext cx="1299779" cy="535788"/>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9ED0AC7D-284E-4A66-B30C-216D9369E681}"/>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1</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2</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2</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7</m:t>
                            </m:r>
                          </m:sup>
                        </m:sSup>
                      </m:den>
                    </m:f>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9ED0AC7D-284E-4A66-B30C-216D9369E681}"/>
                </a:ext>
              </a:extLst>
            </xdr:cNvPr>
            <xdr:cNvSpPr txBox="1"/>
          </xdr:nvSpPr>
          <xdr:spPr>
            <a:xfrm>
              <a:off x="14582775" y="2790825"/>
              <a:ext cx="1299779" cy="53578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𝑎_1=(</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_2 〖𝑚_𝑐〗^3)/(10^3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^2 𝐷^7 )</a:t>
              </a:r>
              <a:endParaRPr kumimoji="1" lang="ja-JP" altLang="en-US" sz="1600" i="1"/>
            </a:p>
          </xdr:txBody>
        </xdr:sp>
      </mc:Fallback>
    </mc:AlternateContent>
    <xdr:clientData/>
  </xdr:oneCellAnchor>
  <xdr:oneCellAnchor>
    <xdr:from>
      <xdr:col>26</xdr:col>
      <xdr:colOff>0</xdr:colOff>
      <xdr:row>11</xdr:row>
      <xdr:rowOff>0</xdr:rowOff>
    </xdr:from>
    <xdr:ext cx="1386855" cy="534762"/>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FB680445-BD56-4E8B-9AD0-F808EA9047C9}"/>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𝑎</m:t>
                        </m:r>
                      </m:e>
                      <m:sub>
                        <m:r>
                          <a:rPr kumimoji="1" lang="en-US" altLang="ja-JP" sz="1600" b="0" i="1">
                            <a:latin typeface="Cambria Math" panose="02040503050406030204" pitchFamily="18" charset="0"/>
                          </a:rPr>
                          <m:t>0</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𝛼</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num>
                      <m:den>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10</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ja-JP" altLang="en-US" sz="1600" b="0" i="1">
                                <a:latin typeface="Cambria Math" panose="02040503050406030204" pitchFamily="18" charset="0"/>
                              </a:rPr>
                              <m:t>𝜌</m:t>
                            </m:r>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10</m:t>
                            </m:r>
                          </m:sup>
                        </m:sSup>
                      </m:den>
                    </m:f>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FB680445-BD56-4E8B-9AD0-F808EA9047C9}"/>
                </a:ext>
              </a:extLst>
            </xdr:cNvPr>
            <xdr:cNvSpPr txBox="1"/>
          </xdr:nvSpPr>
          <xdr:spPr>
            <a:xfrm>
              <a:off x="16725900" y="2790825"/>
              <a:ext cx="1386855" cy="534762"/>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𝑎_0=(</a:t>
              </a:r>
              <a:r>
                <a:rPr kumimoji="1" lang="ja-JP" altLang="en-US" sz="1600" b="0" i="0">
                  <a:latin typeface="Cambria Math" panose="02040503050406030204" pitchFamily="18" charset="0"/>
                </a:rPr>
                <a:t>𝛼</a:t>
              </a:r>
              <a:r>
                <a:rPr kumimoji="1" lang="en-US" altLang="ja-JP" sz="1600" b="0" i="0">
                  <a:latin typeface="Cambria Math" panose="02040503050406030204" pitchFamily="18" charset="0"/>
                </a:rPr>
                <a:t>_1 〖𝑚_𝑐〗^4)/(10^3 </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^3 𝐷^10 )</a:t>
              </a:r>
              <a:endParaRPr kumimoji="1" lang="ja-JP" altLang="en-US" sz="1600" i="1"/>
            </a:p>
          </xdr:txBody>
        </xdr:sp>
      </mc:Fallback>
    </mc:AlternateContent>
    <xdr:clientData/>
  </xdr:oneCellAnchor>
  <xdr:oneCellAnchor>
    <xdr:from>
      <xdr:col>15</xdr:col>
      <xdr:colOff>0</xdr:colOff>
      <xdr:row>6</xdr:row>
      <xdr:rowOff>0</xdr:rowOff>
    </xdr:from>
    <xdr:ext cx="1212640" cy="463397"/>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45BB699B-A5F6-48ED-94A4-7922CEC410C3}"/>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𝑟</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8" name="テキスト ボックス 7">
              <a:extLst>
                <a:ext uri="{FF2B5EF4-FFF2-40B4-BE49-F238E27FC236}">
                  <a16:creationId xmlns:a16="http://schemas.microsoft.com/office/drawing/2014/main" id="{45BB699B-A5F6-48ED-94A4-7922CEC410C3}"/>
                </a:ext>
              </a:extLst>
            </xdr:cNvPr>
            <xdr:cNvSpPr txBox="1"/>
          </xdr:nvSpPr>
          <xdr:spPr>
            <a:xfrm>
              <a:off x="9582150" y="1504950"/>
              <a:ext cx="1212640"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𝑁_𝑟 𝐷^3 )</a:t>
              </a:r>
              <a:endParaRPr kumimoji="1" lang="ja-JP" altLang="en-US" sz="1600" i="1"/>
            </a:p>
          </xdr:txBody>
        </xdr:sp>
      </mc:Fallback>
    </mc:AlternateContent>
    <xdr:clientData/>
  </xdr:oneCellAnchor>
  <xdr:oneCellAnchor>
    <xdr:from>
      <xdr:col>15</xdr:col>
      <xdr:colOff>0</xdr:colOff>
      <xdr:row>18</xdr:row>
      <xdr:rowOff>0</xdr:rowOff>
    </xdr:from>
    <xdr:ext cx="1997983" cy="266355"/>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56615638-D80C-4D46-870F-448BB79276F1}"/>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oMath>
                </m:oMathPara>
              </a14:m>
              <a:endParaRPr kumimoji="1" lang="ja-JP" altLang="en-US" sz="1600" i="1"/>
            </a:p>
          </xdr:txBody>
        </xdr:sp>
      </mc:Choice>
      <mc:Fallback xmlns="">
        <xdr:sp macro="" textlink="">
          <xdr:nvSpPr>
            <xdr:cNvPr id="9" name="テキスト ボックス 8">
              <a:extLst>
                <a:ext uri="{FF2B5EF4-FFF2-40B4-BE49-F238E27FC236}">
                  <a16:creationId xmlns:a16="http://schemas.microsoft.com/office/drawing/2014/main" id="{56615638-D80C-4D46-870F-448BB79276F1}"/>
                </a:ext>
              </a:extLst>
            </xdr:cNvPr>
            <xdr:cNvSpPr txBox="1"/>
          </xdr:nvSpPr>
          <xdr:spPr>
            <a:xfrm>
              <a:off x="9582150" y="4591050"/>
              <a:ext cx="1997983" cy="266355"/>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𝐶_(𝑓,𝑚𝑎𝑥)=𝐶_(𝑓,𝑚𝑎𝑥,𝑠𝑎𝑚𝑝𝑙𝑒)</a:t>
              </a:r>
              <a:endParaRPr kumimoji="1" lang="ja-JP" altLang="en-US" sz="1600" i="1"/>
            </a:p>
          </xdr:txBody>
        </xdr:sp>
      </mc:Fallback>
    </mc:AlternateContent>
    <xdr:clientData/>
  </xdr:oneCellAnchor>
  <xdr:oneCellAnchor>
    <xdr:from>
      <xdr:col>15</xdr:col>
      <xdr:colOff>0</xdr:colOff>
      <xdr:row>11</xdr:row>
      <xdr:rowOff>0</xdr:rowOff>
    </xdr:from>
    <xdr:ext cx="4225387" cy="786113"/>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24BF6A4E-58CF-4303-A195-573805B6DD7E}"/>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𝑚𝑎𝑥</m:t>
                        </m:r>
                      </m:sub>
                    </m:sSub>
                    <m:r>
                      <a:rPr kumimoji="1" lang="en-US" altLang="ja-JP" sz="1600" b="0" i="1">
                        <a:latin typeface="Cambria Math" panose="02040503050406030204" pitchFamily="18" charset="0"/>
                      </a:rPr>
                      <m:t>=</m:t>
                    </m:r>
                    <m:d>
                      <m:dPr>
                        <m:begChr m:val="{"/>
                        <m:endChr m:val=""/>
                        <m:ctrlPr>
                          <a:rPr kumimoji="1" lang="en-US" altLang="ja-JP" sz="1600" b="0" i="1">
                            <a:latin typeface="Cambria Math" panose="02040503050406030204" pitchFamily="18" charset="0"/>
                          </a:rPr>
                        </m:ctrlPr>
                      </m:dPr>
                      <m:e>
                        <m:eqArr>
                          <m:eqArrPr>
                            <m:ctrlPr>
                              <a:rPr kumimoji="1" lang="en-US" altLang="ja-JP" sz="1600" b="0" i="1">
                                <a:latin typeface="Cambria Math" panose="02040503050406030204" pitchFamily="18" charset="0"/>
                              </a:rPr>
                            </m:ctrlPr>
                          </m:eqArr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𝑝</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　　</m:t>
                            </m:r>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極大値がある場合</m:t>
                            </m:r>
                          </m:e>
                          <m:e>
                            <m:r>
                              <a:rPr kumimoji="1" lang="en-US" altLang="ja-JP" sz="1600" b="0" i="1">
                                <a:latin typeface="Cambria Math" panose="02040503050406030204" pitchFamily="18" charset="0"/>
                              </a:rPr>
                              <m:t>&amp;</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𝑚𝑖𝑛</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𝑠𝑎𝑚𝑝𝑙𝑒</m:t>
                                </m:r>
                              </m:sub>
                            </m:sSub>
                            <m:r>
                              <a:rPr kumimoji="1" lang="en-US" altLang="ja-JP" sz="1600" b="0" i="1">
                                <a:latin typeface="Cambria Math" panose="02040503050406030204" pitchFamily="18" charset="0"/>
                              </a:rPr>
                              <m:t>,  </m:t>
                            </m:r>
                            <m:r>
                              <a:rPr kumimoji="1" lang="ja-JP" altLang="en-US" sz="1600" b="0" i="1">
                                <a:latin typeface="Cambria Math" panose="02040503050406030204" pitchFamily="18" charset="0"/>
                              </a:rPr>
                              <m:t>極大値がない場合</m:t>
                            </m:r>
                          </m:e>
                        </m:eqArr>
                      </m:e>
                    </m:d>
                  </m:oMath>
                </m:oMathPara>
              </a14:m>
              <a:endParaRPr kumimoji="1" lang="ja-JP" altLang="en-US" sz="1600" i="1"/>
            </a:p>
          </xdr:txBody>
        </xdr:sp>
      </mc:Choice>
      <mc:Fallback xmlns="">
        <xdr:sp macro="" textlink="">
          <xdr:nvSpPr>
            <xdr:cNvPr id="10" name="テキスト ボックス 9">
              <a:extLst>
                <a:ext uri="{FF2B5EF4-FFF2-40B4-BE49-F238E27FC236}">
                  <a16:creationId xmlns:a16="http://schemas.microsoft.com/office/drawing/2014/main" id="{24BF6A4E-58CF-4303-A195-573805B6DD7E}"/>
                </a:ext>
              </a:extLst>
            </xdr:cNvPr>
            <xdr:cNvSpPr txBox="1"/>
          </xdr:nvSpPr>
          <xdr:spPr>
            <a:xfrm>
              <a:off x="9582150" y="2790825"/>
              <a:ext cx="4225387" cy="78611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𝐶_(𝑓,𝑚𝑎𝑥)={█(𝐶_(𝑓,𝑝),  </a:t>
              </a:r>
              <a:r>
                <a:rPr kumimoji="1" lang="ja-JP" altLang="en-US" sz="1600" b="0" i="0">
                  <a:latin typeface="Cambria Math" panose="02040503050406030204" pitchFamily="18" charset="0"/>
                </a:rPr>
                <a:t>　　</a:t>
              </a:r>
              <a:r>
                <a:rPr kumimoji="1" lang="en-US" altLang="ja-JP" sz="1600" b="0" i="0">
                  <a:latin typeface="Cambria Math" panose="02040503050406030204" pitchFamily="18" charset="0"/>
                </a:rPr>
                <a:t>        </a:t>
              </a:r>
              <a:r>
                <a:rPr kumimoji="1" lang="ja-JP" altLang="en-US" sz="1600" b="0" i="0">
                  <a:latin typeface="Cambria Math" panose="02040503050406030204" pitchFamily="18" charset="0"/>
                </a:rPr>
                <a:t>極大値がある場合@</a:t>
              </a:r>
              <a:r>
                <a:rPr kumimoji="1" lang="en-US" altLang="ja-JP" sz="1600" b="0" i="0">
                  <a:latin typeface="Cambria Math" panose="02040503050406030204" pitchFamily="18" charset="0"/>
                </a:rPr>
                <a:t>&amp;𝐶_(𝑓,𝑚𝑖𝑛,𝑠𝑎𝑚𝑝𝑙𝑒),  </a:t>
              </a:r>
              <a:r>
                <a:rPr kumimoji="1" lang="ja-JP" altLang="en-US" sz="1600" b="0" i="0">
                  <a:latin typeface="Cambria Math" panose="02040503050406030204" pitchFamily="18" charset="0"/>
                </a:rPr>
                <a:t>極大値がない場合)┤</a:t>
              </a:r>
              <a:endParaRPr kumimoji="1" lang="ja-JP" altLang="en-US" sz="1600" i="1"/>
            </a:p>
          </xdr:txBody>
        </xdr:sp>
      </mc:Fallback>
    </mc:AlternateContent>
    <xdr:clientData/>
  </xdr:oneCellAnchor>
  <xdr:twoCellAnchor>
    <xdr:from>
      <xdr:col>29</xdr:col>
      <xdr:colOff>0</xdr:colOff>
      <xdr:row>14</xdr:row>
      <xdr:rowOff>0</xdr:rowOff>
    </xdr:from>
    <xdr:to>
      <xdr:col>41</xdr:col>
      <xdr:colOff>0</xdr:colOff>
      <xdr:row>24</xdr:row>
      <xdr:rowOff>257174</xdr:rowOff>
    </xdr:to>
    <xdr:graphicFrame macro="">
      <xdr:nvGraphicFramePr>
        <xdr:cNvPr id="11" name="グラフ 10">
          <a:extLst>
            <a:ext uri="{FF2B5EF4-FFF2-40B4-BE49-F238E27FC236}">
              <a16:creationId xmlns:a16="http://schemas.microsoft.com/office/drawing/2014/main" id="{CFDD23F6-0248-4278-BA29-9A982A50E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0</xdr:rowOff>
    </xdr:from>
    <xdr:to>
      <xdr:col>41</xdr:col>
      <xdr:colOff>0</xdr:colOff>
      <xdr:row>36</xdr:row>
      <xdr:rowOff>257174</xdr:rowOff>
    </xdr:to>
    <xdr:graphicFrame macro="">
      <xdr:nvGraphicFramePr>
        <xdr:cNvPr id="12" name="グラフ 11">
          <a:extLst>
            <a:ext uri="{FF2B5EF4-FFF2-40B4-BE49-F238E27FC236}">
              <a16:creationId xmlns:a16="http://schemas.microsoft.com/office/drawing/2014/main" id="{23C60DA5-3C34-4239-9257-BC6A07917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30</xdr:col>
      <xdr:colOff>0</xdr:colOff>
      <xdr:row>7</xdr:row>
      <xdr:rowOff>0</xdr:rowOff>
    </xdr:from>
    <xdr:ext cx="1208984" cy="463397"/>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DD31311A-A3DF-4594-BEA6-E07307D51088}"/>
                </a:ext>
              </a:extLst>
            </xdr:cNvPr>
            <xdr:cNvSpPr txBox="1"/>
          </xdr:nvSpPr>
          <xdr:spPr>
            <a:xfrm>
              <a:off x="5143500" y="1666875"/>
              <a:ext cx="1208984"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𝑐</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2" name="テキスト ボックス 1">
              <a:extLst>
                <a:ext uri="{FF2B5EF4-FFF2-40B4-BE49-F238E27FC236}">
                  <a16:creationId xmlns:a16="http://schemas.microsoft.com/office/drawing/2014/main" id="{DD31311A-A3DF-4594-BEA6-E07307D51088}"/>
                </a:ext>
              </a:extLst>
            </xdr:cNvPr>
            <xdr:cNvSpPr txBox="1"/>
          </xdr:nvSpPr>
          <xdr:spPr>
            <a:xfrm>
              <a:off x="5143500" y="1666875"/>
              <a:ext cx="1208984"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𝑁_𝑐 𝐷^3 )</a:t>
              </a:r>
              <a:endParaRPr kumimoji="1" lang="ja-JP" altLang="en-US" sz="1600" i="1"/>
            </a:p>
          </xdr:txBody>
        </xdr:sp>
      </mc:Fallback>
    </mc:AlternateContent>
    <xdr:clientData/>
  </xdr:oneCellAnchor>
  <xdr:oneCellAnchor>
    <xdr:from>
      <xdr:col>29</xdr:col>
      <xdr:colOff>238125</xdr:colOff>
      <xdr:row>9</xdr:row>
      <xdr:rowOff>57150</xdr:rowOff>
    </xdr:from>
    <xdr:ext cx="4040914" cy="28802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EAA22078-B858-4F7D-A921-153F31BB989A}"/>
                </a:ext>
              </a:extLst>
            </xdr:cNvPr>
            <xdr:cNvSpPr txBox="1"/>
          </xdr:nvSpPr>
          <xdr:spPr>
            <a:xfrm>
              <a:off x="20440650" y="2333625"/>
              <a:ext cx="4040914" cy="2880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𝜂</m:t>
                        </m:r>
                      </m:e>
                      <m:sub>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𝛽</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𝛽</m:t>
                        </m:r>
                      </m:e>
                      <m:sub>
                        <m:r>
                          <a:rPr kumimoji="1" lang="en-US" altLang="ja-JP" sz="1600" b="0" i="1">
                            <a:latin typeface="Cambria Math" panose="02040503050406030204" pitchFamily="18" charset="0"/>
                          </a:rPr>
                          <m:t>2</m:t>
                        </m:r>
                      </m:sub>
                    </m:sSub>
                    <m:sSup>
                      <m:sSupPr>
                        <m:ctrlPr>
                          <a:rPr kumimoji="1" lang="en-US" altLang="ja-JP" sz="1600" b="0" i="1">
                            <a:solidFill>
                              <a:schemeClr val="tx1"/>
                            </a:solidFill>
                            <a:effectLst/>
                            <a:latin typeface="Cambria Math" panose="02040503050406030204" pitchFamily="18" charset="0"/>
                            <a:ea typeface="+mn-ea"/>
                            <a:cs typeface="+mn-cs"/>
                          </a:rPr>
                        </m:ctrlPr>
                      </m:sSupPr>
                      <m:e>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r>
                              <a:rPr kumimoji="1" lang="en-US" altLang="ja-JP" sz="1600" b="0" i="1">
                                <a:solidFill>
                                  <a:schemeClr val="tx1"/>
                                </a:solidFill>
                                <a:effectLst/>
                                <a:latin typeface="Cambria Math" panose="02040503050406030204" pitchFamily="18" charset="0"/>
                                <a:ea typeface="+mn-ea"/>
                                <a:cs typeface="+mn-cs"/>
                              </a:rPr>
                              <m:t>,</m:t>
                            </m:r>
                            <m:r>
                              <a:rPr kumimoji="1" lang="en-US" altLang="ja-JP" sz="1600" b="0" i="1">
                                <a:solidFill>
                                  <a:schemeClr val="tx1"/>
                                </a:solidFill>
                                <a:effectLst/>
                                <a:latin typeface="Cambria Math" panose="02040503050406030204" pitchFamily="18" charset="0"/>
                                <a:ea typeface="+mn-ea"/>
                                <a:cs typeface="+mn-cs"/>
                              </a:rPr>
                              <m:t>𝑐</m:t>
                            </m:r>
                          </m:sub>
                        </m:sSub>
                      </m:e>
                      <m:sup>
                        <m:r>
                          <a:rPr kumimoji="1" lang="en-US" altLang="ja-JP" sz="1600" b="0" i="1">
                            <a:solidFill>
                              <a:schemeClr val="tx1"/>
                            </a:solidFill>
                            <a:effectLst/>
                            <a:latin typeface="Cambria Math" panose="02040503050406030204" pitchFamily="18" charset="0"/>
                            <a:ea typeface="+mn-ea"/>
                            <a:cs typeface="+mn-cs"/>
                          </a:rPr>
                          <m:t>3</m:t>
                        </m:r>
                      </m:sup>
                    </m:sSup>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𝛽</m:t>
                        </m:r>
                      </m:e>
                      <m:sub>
                        <m:r>
                          <a:rPr kumimoji="1" lang="en-US" altLang="ja-JP" sz="1600" b="0" i="1">
                            <a:solidFill>
                              <a:schemeClr val="tx1"/>
                            </a:solidFill>
                            <a:effectLst/>
                            <a:latin typeface="Cambria Math" panose="02040503050406030204" pitchFamily="18" charset="0"/>
                            <a:ea typeface="+mn-ea"/>
                            <a:cs typeface="+mn-cs"/>
                          </a:rPr>
                          <m:t>3</m:t>
                        </m:r>
                      </m:sub>
                    </m:sSub>
                    <m:sSup>
                      <m:sSupPr>
                        <m:ctrlPr>
                          <a:rPr kumimoji="1" lang="en-US" altLang="ja-JP" sz="1600" b="0" i="1">
                            <a:solidFill>
                              <a:schemeClr val="tx1"/>
                            </a:solidFill>
                            <a:effectLst/>
                            <a:latin typeface="Cambria Math" panose="02040503050406030204" pitchFamily="18" charset="0"/>
                            <a:ea typeface="+mn-ea"/>
                            <a:cs typeface="+mn-cs"/>
                          </a:rPr>
                        </m:ctrlPr>
                      </m:sSupPr>
                      <m:e>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r>
                              <a:rPr kumimoji="1" lang="en-US" altLang="ja-JP" sz="1600" b="0" i="1">
                                <a:solidFill>
                                  <a:schemeClr val="tx1"/>
                                </a:solidFill>
                                <a:effectLst/>
                                <a:latin typeface="Cambria Math" panose="02040503050406030204" pitchFamily="18" charset="0"/>
                                <a:ea typeface="+mn-ea"/>
                                <a:cs typeface="+mn-cs"/>
                              </a:rPr>
                              <m:t>,</m:t>
                            </m:r>
                            <m:r>
                              <a:rPr kumimoji="1" lang="en-US" altLang="ja-JP" sz="1600" b="0" i="1">
                                <a:solidFill>
                                  <a:schemeClr val="tx1"/>
                                </a:solidFill>
                                <a:effectLst/>
                                <a:latin typeface="Cambria Math" panose="02040503050406030204" pitchFamily="18" charset="0"/>
                                <a:ea typeface="+mn-ea"/>
                                <a:cs typeface="+mn-cs"/>
                              </a:rPr>
                              <m:t>𝑐</m:t>
                            </m:r>
                          </m:sub>
                        </m:sSub>
                      </m:e>
                      <m:sup>
                        <m:r>
                          <a:rPr kumimoji="1" lang="en-US" altLang="ja-JP" sz="1600" b="0" i="1">
                            <a:solidFill>
                              <a:schemeClr val="tx1"/>
                            </a:solidFill>
                            <a:effectLst/>
                            <a:latin typeface="Cambria Math" panose="02040503050406030204" pitchFamily="18" charset="0"/>
                            <a:ea typeface="+mn-ea"/>
                            <a:cs typeface="+mn-cs"/>
                          </a:rPr>
                          <m:t>2</m:t>
                        </m:r>
                      </m:sup>
                    </m:sSup>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𝛽</m:t>
                        </m:r>
                      </m:e>
                      <m:sub>
                        <m:r>
                          <a:rPr kumimoji="1" lang="en-US" altLang="ja-JP" sz="1600" b="0" i="1">
                            <a:solidFill>
                              <a:schemeClr val="tx1"/>
                            </a:solidFill>
                            <a:effectLst/>
                            <a:latin typeface="Cambria Math" panose="02040503050406030204" pitchFamily="18" charset="0"/>
                            <a:ea typeface="+mn-ea"/>
                            <a:cs typeface="+mn-cs"/>
                          </a:rPr>
                          <m:t>4</m:t>
                        </m:r>
                      </m:sub>
                    </m:sSub>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r>
                          <a:rPr kumimoji="1" lang="en-US" altLang="ja-JP" sz="1600" b="0" i="1">
                            <a:solidFill>
                              <a:schemeClr val="tx1"/>
                            </a:solidFill>
                            <a:effectLst/>
                            <a:latin typeface="Cambria Math" panose="02040503050406030204" pitchFamily="18" charset="0"/>
                            <a:ea typeface="+mn-ea"/>
                            <a:cs typeface="+mn-cs"/>
                          </a:rPr>
                          <m:t>,</m:t>
                        </m:r>
                        <m:r>
                          <a:rPr kumimoji="1" lang="en-US" altLang="ja-JP" sz="1600" b="0" i="1">
                            <a:solidFill>
                              <a:schemeClr val="tx1"/>
                            </a:solidFill>
                            <a:effectLst/>
                            <a:latin typeface="Cambria Math" panose="02040503050406030204" pitchFamily="18" charset="0"/>
                            <a:ea typeface="+mn-ea"/>
                            <a:cs typeface="+mn-cs"/>
                          </a:rPr>
                          <m:t>𝑐</m:t>
                        </m:r>
                      </m:sub>
                    </m:sSub>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𝛽</m:t>
                        </m:r>
                      </m:e>
                      <m:sub>
                        <m:r>
                          <a:rPr kumimoji="1" lang="en-US" altLang="ja-JP" sz="1600" b="0" i="1">
                            <a:solidFill>
                              <a:schemeClr val="tx1"/>
                            </a:solidFill>
                            <a:effectLst/>
                            <a:latin typeface="Cambria Math" panose="02040503050406030204" pitchFamily="18" charset="0"/>
                            <a:ea typeface="+mn-ea"/>
                            <a:cs typeface="+mn-cs"/>
                          </a:rPr>
                          <m:t>5</m:t>
                        </m:r>
                      </m:sub>
                    </m:sSub>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EAA22078-B858-4F7D-A921-153F31BB989A}"/>
                </a:ext>
              </a:extLst>
            </xdr:cNvPr>
            <xdr:cNvSpPr txBox="1"/>
          </xdr:nvSpPr>
          <xdr:spPr>
            <a:xfrm>
              <a:off x="20440650" y="2333625"/>
              <a:ext cx="4040914" cy="2880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ja-JP" altLang="en-US" sz="1600" b="0" i="0">
                  <a:latin typeface="Cambria Math" panose="02040503050406030204" pitchFamily="18" charset="0"/>
                </a:rPr>
                <a:t>𝜂</a:t>
              </a:r>
              <a:r>
                <a:rPr kumimoji="1" lang="en-US" altLang="ja-JP" sz="1600" b="0" i="0">
                  <a:latin typeface="Cambria Math" panose="02040503050406030204" pitchFamily="18" charset="0"/>
                </a:rPr>
                <a:t>_𝑐=</a:t>
              </a:r>
              <a:r>
                <a:rPr kumimoji="1" lang="ja-JP" altLang="en-US" sz="1600" b="0" i="0">
                  <a:latin typeface="Cambria Math" panose="02040503050406030204" pitchFamily="18" charset="0"/>
                </a:rPr>
                <a:t>𝛽</a:t>
              </a:r>
              <a:r>
                <a:rPr kumimoji="1" lang="en-US" altLang="ja-JP" sz="1600" b="0" i="0">
                  <a:latin typeface="Cambria Math" panose="02040503050406030204" pitchFamily="18" charset="0"/>
                </a:rPr>
                <a:t>_1 〖𝐶_(𝑓,𝑐)〗^4+</a:t>
              </a:r>
              <a:r>
                <a:rPr kumimoji="1" lang="ja-JP" altLang="en-US" sz="1600" b="0" i="0">
                  <a:latin typeface="Cambria Math" panose="02040503050406030204" pitchFamily="18" charset="0"/>
                </a:rPr>
                <a:t>𝛽</a:t>
              </a:r>
              <a:r>
                <a:rPr kumimoji="1" lang="en-US" altLang="ja-JP" sz="1600" b="0" i="0">
                  <a:latin typeface="Cambria Math" panose="02040503050406030204" pitchFamily="18" charset="0"/>
                </a:rPr>
                <a:t>_2</a:t>
              </a:r>
              <a:r>
                <a:rPr kumimoji="1" lang="en-US" altLang="ja-JP" sz="1600" b="0" i="0">
                  <a:solidFill>
                    <a:schemeClr val="tx1"/>
                  </a:solidFill>
                  <a:effectLst/>
                  <a:latin typeface="Cambria Math" panose="02040503050406030204" pitchFamily="18" charset="0"/>
                  <a:ea typeface="+mn-ea"/>
                  <a:cs typeface="+mn-cs"/>
                </a:rPr>
                <a:t> 〖𝐶_(𝑓,𝑐)〗^3+</a:t>
              </a:r>
              <a:r>
                <a:rPr kumimoji="1" lang="ja-JP" altLang="en-US" sz="1600" b="0" i="0">
                  <a:solidFill>
                    <a:schemeClr val="tx1"/>
                  </a:solidFill>
                  <a:effectLst/>
                  <a:latin typeface="Cambria Math" panose="02040503050406030204" pitchFamily="18" charset="0"/>
                  <a:ea typeface="+mn-ea"/>
                  <a:cs typeface="+mn-cs"/>
                </a:rPr>
                <a:t>𝛽</a:t>
              </a:r>
              <a:r>
                <a:rPr kumimoji="1" lang="en-US" altLang="ja-JP" sz="1600" b="0" i="0">
                  <a:solidFill>
                    <a:schemeClr val="tx1"/>
                  </a:solidFill>
                  <a:effectLst/>
                  <a:latin typeface="Cambria Math" panose="02040503050406030204" pitchFamily="18" charset="0"/>
                  <a:ea typeface="+mn-ea"/>
                  <a:cs typeface="+mn-cs"/>
                </a:rPr>
                <a:t>_3 〖𝐶_(𝑓,𝑐)〗^2+</a:t>
              </a:r>
              <a:r>
                <a:rPr kumimoji="1" lang="ja-JP" altLang="en-US" sz="1600" b="0" i="0">
                  <a:solidFill>
                    <a:schemeClr val="tx1"/>
                  </a:solidFill>
                  <a:effectLst/>
                  <a:latin typeface="Cambria Math" panose="02040503050406030204" pitchFamily="18" charset="0"/>
                  <a:ea typeface="+mn-ea"/>
                  <a:cs typeface="+mn-cs"/>
                </a:rPr>
                <a:t>𝛽</a:t>
              </a:r>
              <a:r>
                <a:rPr kumimoji="1" lang="en-US" altLang="ja-JP" sz="1600" b="0" i="0">
                  <a:solidFill>
                    <a:schemeClr val="tx1"/>
                  </a:solidFill>
                  <a:effectLst/>
                  <a:latin typeface="Cambria Math" panose="02040503050406030204" pitchFamily="18" charset="0"/>
                  <a:ea typeface="+mn-ea"/>
                  <a:cs typeface="+mn-cs"/>
                </a:rPr>
                <a:t>_4 𝐶_(𝑓,𝑐)+</a:t>
              </a:r>
              <a:r>
                <a:rPr kumimoji="1" lang="ja-JP" altLang="en-US" sz="1600" b="0" i="0">
                  <a:solidFill>
                    <a:schemeClr val="tx1"/>
                  </a:solidFill>
                  <a:effectLst/>
                  <a:latin typeface="Cambria Math" panose="02040503050406030204" pitchFamily="18" charset="0"/>
                  <a:ea typeface="+mn-ea"/>
                  <a:cs typeface="+mn-cs"/>
                </a:rPr>
                <a:t>𝛽</a:t>
              </a:r>
              <a:r>
                <a:rPr kumimoji="1" lang="en-US" altLang="ja-JP" sz="1600" b="0" i="0">
                  <a:solidFill>
                    <a:schemeClr val="tx1"/>
                  </a:solidFill>
                  <a:effectLst/>
                  <a:latin typeface="Cambria Math" panose="02040503050406030204" pitchFamily="18" charset="0"/>
                  <a:ea typeface="+mn-ea"/>
                  <a:cs typeface="+mn-cs"/>
                </a:rPr>
                <a:t>_5</a:t>
              </a:r>
              <a:endParaRPr kumimoji="1" lang="ja-JP" altLang="en-US" sz="1600" i="1"/>
            </a:p>
          </xdr:txBody>
        </xdr:sp>
      </mc:Fallback>
    </mc:AlternateContent>
    <xdr:clientData/>
  </xdr:oneCellAnchor>
  <xdr:oneCellAnchor>
    <xdr:from>
      <xdr:col>30</xdr:col>
      <xdr:colOff>0</xdr:colOff>
      <xdr:row>10</xdr:row>
      <xdr:rowOff>247407</xdr:rowOff>
    </xdr:from>
    <xdr:ext cx="1258293" cy="50917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5C73E541-F21F-48AC-899D-C0A19DD5D355}"/>
                </a:ext>
              </a:extLst>
            </xdr:cNvPr>
            <xdr:cNvSpPr txBox="1"/>
          </xdr:nvSpPr>
          <xdr:spPr>
            <a:xfrm>
              <a:off x="11811000" y="2781057"/>
              <a:ext cx="1258293" cy="50917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𝑊</m:t>
                        </m:r>
                      </m:e>
                      <m:sub>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ea typeface="Cambria Math" panose="02040503050406030204" pitchFamily="18" charset="0"/>
                          </a:rPr>
                          <m:t>∙</m:t>
                        </m:r>
                        <m:sSub>
                          <m:sSubPr>
                            <m:ctrlPr>
                              <a:rPr kumimoji="1" lang="en-US" altLang="ja-JP" sz="1600" b="0" i="1">
                                <a:latin typeface="Cambria Math" panose="02040503050406030204" pitchFamily="18" charset="0"/>
                                <a:ea typeface="Cambria Math" panose="02040503050406030204" pitchFamily="18" charset="0"/>
                              </a:rPr>
                            </m:ctrlPr>
                          </m:sSubPr>
                          <m:e>
                            <m:r>
                              <a:rPr kumimoji="1" lang="en-US" altLang="ja-JP" sz="1600" b="0" i="1">
                                <a:latin typeface="Cambria Math" panose="02040503050406030204" pitchFamily="18" charset="0"/>
                                <a:ea typeface="Cambria Math" panose="02040503050406030204" pitchFamily="18" charset="0"/>
                              </a:rPr>
                              <m:t>𝑑𝑃</m:t>
                            </m:r>
                          </m:e>
                          <m:sub>
                            <m:r>
                              <a:rPr kumimoji="1" lang="en-US" altLang="ja-JP" sz="1600" b="0" i="1">
                                <a:latin typeface="Cambria Math" panose="02040503050406030204" pitchFamily="18" charset="0"/>
                                <a:ea typeface="Cambria Math" panose="02040503050406030204" pitchFamily="18" charset="0"/>
                              </a:rPr>
                              <m:t>𝑐</m:t>
                            </m:r>
                          </m:sub>
                        </m:sSub>
                      </m:num>
                      <m:den>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𝜌𝜂</m:t>
                            </m:r>
                          </m:e>
                          <m:sub>
                            <m:r>
                              <a:rPr kumimoji="1" lang="en-US" altLang="ja-JP" sz="1600" b="0" i="1">
                                <a:latin typeface="Cambria Math" panose="02040503050406030204" pitchFamily="18" charset="0"/>
                              </a:rPr>
                              <m:t>𝑐</m:t>
                            </m:r>
                          </m:sub>
                        </m:sSub>
                      </m:den>
                    </m:f>
                  </m:oMath>
                </m:oMathPara>
              </a14:m>
              <a:endParaRPr kumimoji="1" lang="ja-JP" altLang="en-US" sz="1600" i="1"/>
            </a:p>
          </xdr:txBody>
        </xdr:sp>
      </mc:Choice>
      <mc:Fallback xmlns="">
        <xdr:sp macro="" textlink="">
          <xdr:nvSpPr>
            <xdr:cNvPr id="4" name="テキスト ボックス 3">
              <a:extLst>
                <a:ext uri="{FF2B5EF4-FFF2-40B4-BE49-F238E27FC236}">
                  <a16:creationId xmlns:a16="http://schemas.microsoft.com/office/drawing/2014/main" id="{5C73E541-F21F-48AC-899D-C0A19DD5D355}"/>
                </a:ext>
              </a:extLst>
            </xdr:cNvPr>
            <xdr:cNvSpPr txBox="1"/>
          </xdr:nvSpPr>
          <xdr:spPr>
            <a:xfrm>
              <a:off x="11811000" y="2781057"/>
              <a:ext cx="1258293" cy="50917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𝑊_𝑐=(𝑚_𝑐</a:t>
              </a:r>
              <a:r>
                <a:rPr kumimoji="1" lang="en-US" altLang="ja-JP" sz="1600" b="0" i="0">
                  <a:latin typeface="Cambria Math" panose="02040503050406030204" pitchFamily="18" charset="0"/>
                  <a:ea typeface="Cambria Math" panose="02040503050406030204" pitchFamily="18" charset="0"/>
                </a:rPr>
                <a:t>∙〖𝑑𝑃〗_𝑐)/〖</a:t>
              </a:r>
              <a:r>
                <a:rPr kumimoji="1" lang="ja-JP" altLang="en-US" sz="1600" b="0" i="0">
                  <a:latin typeface="Cambria Math" panose="02040503050406030204" pitchFamily="18" charset="0"/>
                </a:rPr>
                <a:t>𝜌𝜂</a:t>
              </a:r>
              <a:r>
                <a:rPr kumimoji="1" lang="en-US" altLang="ja-JP" sz="1600" b="0" i="0">
                  <a:latin typeface="Cambria Math" panose="02040503050406030204" pitchFamily="18" charset="0"/>
                </a:rPr>
                <a:t>〗_𝑐 </a:t>
              </a:r>
              <a:endParaRPr kumimoji="1" lang="ja-JP" altLang="en-US" sz="1600" i="1"/>
            </a:p>
          </xdr:txBody>
        </xdr:sp>
      </mc:Fallback>
    </mc:AlternateContent>
    <xdr:clientData/>
  </xdr:oneCellAnchor>
  <xdr:oneCellAnchor>
    <xdr:from>
      <xdr:col>20</xdr:col>
      <xdr:colOff>0</xdr:colOff>
      <xdr:row>7</xdr:row>
      <xdr:rowOff>0</xdr:rowOff>
    </xdr:from>
    <xdr:ext cx="1208984" cy="463397"/>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72150AB0-C103-40C7-8EC3-305138463D08}"/>
                </a:ext>
              </a:extLst>
            </xdr:cNvPr>
            <xdr:cNvSpPr txBox="1"/>
          </xdr:nvSpPr>
          <xdr:spPr>
            <a:xfrm>
              <a:off x="7458075" y="1666875"/>
              <a:ext cx="1208984"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𝑚</m:t>
                            </m:r>
                          </m:e>
                          <m:sub>
                            <m:r>
                              <a:rPr kumimoji="1" lang="en-US" altLang="ja-JP" sz="1600" b="0" i="1">
                                <a:latin typeface="Cambria Math" panose="02040503050406030204" pitchFamily="18" charset="0"/>
                              </a:rPr>
                              <m:t>𝑐</m:t>
                            </m:r>
                          </m:sub>
                        </m:sSub>
                      </m:num>
                      <m:den>
                        <m:r>
                          <a:rPr kumimoji="1" lang="ja-JP" altLang="en-US" sz="1600" b="0" i="1">
                            <a:latin typeface="Cambria Math" panose="02040503050406030204" pitchFamily="18" charset="0"/>
                          </a:rPr>
                          <m:t>𝜌</m:t>
                        </m:r>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𝑐</m:t>
                            </m:r>
                          </m:sub>
                        </m:sSub>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3</m:t>
                            </m:r>
                          </m:sup>
                        </m:sSup>
                      </m:den>
                    </m:f>
                  </m:oMath>
                </m:oMathPara>
              </a14:m>
              <a:endParaRPr kumimoji="1" lang="ja-JP" altLang="en-US" sz="1600" i="1"/>
            </a:p>
          </xdr:txBody>
        </xdr:sp>
      </mc:Choice>
      <mc:Fallback xmlns="">
        <xdr:sp macro="" textlink="">
          <xdr:nvSpPr>
            <xdr:cNvPr id="5" name="テキスト ボックス 4">
              <a:extLst>
                <a:ext uri="{FF2B5EF4-FFF2-40B4-BE49-F238E27FC236}">
                  <a16:creationId xmlns:a16="http://schemas.microsoft.com/office/drawing/2014/main" id="{72150AB0-C103-40C7-8EC3-305138463D08}"/>
                </a:ext>
              </a:extLst>
            </xdr:cNvPr>
            <xdr:cNvSpPr txBox="1"/>
          </xdr:nvSpPr>
          <xdr:spPr>
            <a:xfrm>
              <a:off x="7458075" y="1666875"/>
              <a:ext cx="1208984" cy="463397"/>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𝐶_(𝑓,𝑐)=𝑚_𝑐/(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𝑁_𝑐 𝐷^3 )</a:t>
              </a:r>
              <a:endParaRPr kumimoji="1" lang="ja-JP" altLang="en-US" sz="1600" i="1"/>
            </a:p>
          </xdr:txBody>
        </xdr:sp>
      </mc:Fallback>
    </mc:AlternateContent>
    <xdr:clientData/>
  </xdr:oneCellAnchor>
  <xdr:oneCellAnchor>
    <xdr:from>
      <xdr:col>20</xdr:col>
      <xdr:colOff>0</xdr:colOff>
      <xdr:row>9</xdr:row>
      <xdr:rowOff>0</xdr:rowOff>
    </xdr:from>
    <xdr:ext cx="4170822" cy="288028"/>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DBD13529-60FE-4548-97D8-7A161690C6A7}"/>
                </a:ext>
              </a:extLst>
            </xdr:cNvPr>
            <xdr:cNvSpPr txBox="1"/>
          </xdr:nvSpPr>
          <xdr:spPr>
            <a:xfrm>
              <a:off x="7458075" y="2143125"/>
              <a:ext cx="4170822" cy="2880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𝑊</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𝛾</m:t>
                        </m:r>
                      </m:e>
                      <m:sub>
                        <m:r>
                          <a:rPr kumimoji="1" lang="en-US" altLang="ja-JP" sz="1600" b="0" i="1">
                            <a:latin typeface="Cambria Math" panose="02040503050406030204" pitchFamily="18" charset="0"/>
                          </a:rPr>
                          <m:t>1</m:t>
                        </m:r>
                      </m:sub>
                    </m:sSub>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𝐶</m:t>
                            </m:r>
                          </m:e>
                          <m:sub>
                            <m:r>
                              <a:rPr kumimoji="1" lang="en-US" altLang="ja-JP" sz="1600" b="0" i="1">
                                <a:latin typeface="Cambria Math" panose="02040503050406030204" pitchFamily="18" charset="0"/>
                              </a:rPr>
                              <m:t>𝑓</m:t>
                            </m:r>
                            <m:r>
                              <a:rPr kumimoji="1" lang="en-US" altLang="ja-JP" sz="1600" b="0" i="1">
                                <a:latin typeface="Cambria Math" panose="02040503050406030204" pitchFamily="18" charset="0"/>
                              </a:rPr>
                              <m:t>,</m:t>
                            </m:r>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4</m:t>
                        </m:r>
                      </m:sup>
                    </m:sSup>
                    <m:r>
                      <a:rPr kumimoji="1" lang="en-US" altLang="ja-JP" sz="1600" b="0" i="1">
                        <a:latin typeface="Cambria Math" panose="02040503050406030204" pitchFamily="18" charset="0"/>
                      </a:rPr>
                      <m:t>+</m:t>
                    </m:r>
                    <m:sSub>
                      <m:sSubPr>
                        <m:ctrlPr>
                          <a:rPr kumimoji="1" lang="en-US" altLang="ja-JP" sz="1600" b="0" i="1">
                            <a:latin typeface="Cambria Math" panose="02040503050406030204" pitchFamily="18" charset="0"/>
                          </a:rPr>
                        </m:ctrlPr>
                      </m:sSubPr>
                      <m:e>
                        <m:r>
                          <a:rPr kumimoji="1" lang="ja-JP" altLang="en-US" sz="1600" b="0" i="1">
                            <a:latin typeface="Cambria Math" panose="02040503050406030204" pitchFamily="18" charset="0"/>
                          </a:rPr>
                          <m:t>𝛾</m:t>
                        </m:r>
                      </m:e>
                      <m:sub>
                        <m:r>
                          <a:rPr kumimoji="1" lang="en-US" altLang="ja-JP" sz="1600" b="0" i="1">
                            <a:latin typeface="Cambria Math" panose="02040503050406030204" pitchFamily="18" charset="0"/>
                          </a:rPr>
                          <m:t>2</m:t>
                        </m:r>
                      </m:sub>
                    </m:sSub>
                    <m:sSup>
                      <m:sSupPr>
                        <m:ctrlPr>
                          <a:rPr kumimoji="1" lang="en-US" altLang="ja-JP" sz="1600" b="0" i="1">
                            <a:solidFill>
                              <a:schemeClr val="tx1"/>
                            </a:solidFill>
                            <a:effectLst/>
                            <a:latin typeface="Cambria Math" panose="02040503050406030204" pitchFamily="18" charset="0"/>
                            <a:ea typeface="+mn-ea"/>
                            <a:cs typeface="+mn-cs"/>
                          </a:rPr>
                        </m:ctrlPr>
                      </m:sSupPr>
                      <m:e>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r>
                              <a:rPr kumimoji="1" lang="en-US" altLang="ja-JP" sz="1600" b="0" i="1">
                                <a:solidFill>
                                  <a:schemeClr val="tx1"/>
                                </a:solidFill>
                                <a:effectLst/>
                                <a:latin typeface="Cambria Math" panose="02040503050406030204" pitchFamily="18" charset="0"/>
                                <a:ea typeface="+mn-ea"/>
                                <a:cs typeface="+mn-cs"/>
                              </a:rPr>
                              <m:t>,</m:t>
                            </m:r>
                            <m:r>
                              <a:rPr kumimoji="1" lang="en-US" altLang="ja-JP" sz="1600" b="0" i="1">
                                <a:solidFill>
                                  <a:schemeClr val="tx1"/>
                                </a:solidFill>
                                <a:effectLst/>
                                <a:latin typeface="Cambria Math" panose="02040503050406030204" pitchFamily="18" charset="0"/>
                                <a:ea typeface="+mn-ea"/>
                                <a:cs typeface="+mn-cs"/>
                              </a:rPr>
                              <m:t>𝑐</m:t>
                            </m:r>
                          </m:sub>
                        </m:sSub>
                      </m:e>
                      <m:sup>
                        <m:r>
                          <a:rPr kumimoji="1" lang="en-US" altLang="ja-JP" sz="1600" b="0" i="1">
                            <a:solidFill>
                              <a:schemeClr val="tx1"/>
                            </a:solidFill>
                            <a:effectLst/>
                            <a:latin typeface="Cambria Math" panose="02040503050406030204" pitchFamily="18" charset="0"/>
                            <a:ea typeface="+mn-ea"/>
                            <a:cs typeface="+mn-cs"/>
                          </a:rPr>
                          <m:t>3</m:t>
                        </m:r>
                      </m:sup>
                    </m:sSup>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𝛾</m:t>
                        </m:r>
                      </m:e>
                      <m:sub>
                        <m:r>
                          <a:rPr kumimoji="1" lang="en-US" altLang="ja-JP" sz="1600" b="0" i="1">
                            <a:solidFill>
                              <a:schemeClr val="tx1"/>
                            </a:solidFill>
                            <a:effectLst/>
                            <a:latin typeface="Cambria Math" panose="02040503050406030204" pitchFamily="18" charset="0"/>
                            <a:ea typeface="+mn-ea"/>
                            <a:cs typeface="+mn-cs"/>
                          </a:rPr>
                          <m:t>3</m:t>
                        </m:r>
                      </m:sub>
                    </m:sSub>
                    <m:sSup>
                      <m:sSupPr>
                        <m:ctrlPr>
                          <a:rPr kumimoji="1" lang="en-US" altLang="ja-JP" sz="1600" b="0" i="1">
                            <a:solidFill>
                              <a:schemeClr val="tx1"/>
                            </a:solidFill>
                            <a:effectLst/>
                            <a:latin typeface="Cambria Math" panose="02040503050406030204" pitchFamily="18" charset="0"/>
                            <a:ea typeface="+mn-ea"/>
                            <a:cs typeface="+mn-cs"/>
                          </a:rPr>
                        </m:ctrlPr>
                      </m:sSupPr>
                      <m:e>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r>
                              <a:rPr kumimoji="1" lang="en-US" altLang="ja-JP" sz="1600" b="0" i="1">
                                <a:solidFill>
                                  <a:schemeClr val="tx1"/>
                                </a:solidFill>
                                <a:effectLst/>
                                <a:latin typeface="Cambria Math" panose="02040503050406030204" pitchFamily="18" charset="0"/>
                                <a:ea typeface="+mn-ea"/>
                                <a:cs typeface="+mn-cs"/>
                              </a:rPr>
                              <m:t>,</m:t>
                            </m:r>
                            <m:r>
                              <a:rPr kumimoji="1" lang="en-US" altLang="ja-JP" sz="1600" b="0" i="1">
                                <a:solidFill>
                                  <a:schemeClr val="tx1"/>
                                </a:solidFill>
                                <a:effectLst/>
                                <a:latin typeface="Cambria Math" panose="02040503050406030204" pitchFamily="18" charset="0"/>
                                <a:ea typeface="+mn-ea"/>
                                <a:cs typeface="+mn-cs"/>
                              </a:rPr>
                              <m:t>𝑐</m:t>
                            </m:r>
                          </m:sub>
                        </m:sSub>
                      </m:e>
                      <m:sup>
                        <m:r>
                          <a:rPr kumimoji="1" lang="en-US" altLang="ja-JP" sz="1600" b="0" i="1">
                            <a:solidFill>
                              <a:schemeClr val="tx1"/>
                            </a:solidFill>
                            <a:effectLst/>
                            <a:latin typeface="Cambria Math" panose="02040503050406030204" pitchFamily="18" charset="0"/>
                            <a:ea typeface="+mn-ea"/>
                            <a:cs typeface="+mn-cs"/>
                          </a:rPr>
                          <m:t>2</m:t>
                        </m:r>
                      </m:sup>
                    </m:sSup>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𝛾</m:t>
                        </m:r>
                      </m:e>
                      <m:sub>
                        <m:r>
                          <a:rPr kumimoji="1" lang="en-US" altLang="ja-JP" sz="1600" b="0" i="1">
                            <a:solidFill>
                              <a:schemeClr val="tx1"/>
                            </a:solidFill>
                            <a:effectLst/>
                            <a:latin typeface="Cambria Math" panose="02040503050406030204" pitchFamily="18" charset="0"/>
                            <a:ea typeface="+mn-ea"/>
                            <a:cs typeface="+mn-cs"/>
                          </a:rPr>
                          <m:t>4</m:t>
                        </m:r>
                      </m:sub>
                    </m:sSub>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en-US" altLang="ja-JP" sz="1600" b="0" i="1">
                            <a:solidFill>
                              <a:schemeClr val="tx1"/>
                            </a:solidFill>
                            <a:effectLst/>
                            <a:latin typeface="Cambria Math" panose="02040503050406030204" pitchFamily="18" charset="0"/>
                            <a:ea typeface="+mn-ea"/>
                            <a:cs typeface="+mn-cs"/>
                          </a:rPr>
                          <m:t>𝐶</m:t>
                        </m:r>
                      </m:e>
                      <m:sub>
                        <m:r>
                          <a:rPr kumimoji="1" lang="en-US" altLang="ja-JP" sz="1600" b="0" i="1">
                            <a:solidFill>
                              <a:schemeClr val="tx1"/>
                            </a:solidFill>
                            <a:effectLst/>
                            <a:latin typeface="Cambria Math" panose="02040503050406030204" pitchFamily="18" charset="0"/>
                            <a:ea typeface="+mn-ea"/>
                            <a:cs typeface="+mn-cs"/>
                          </a:rPr>
                          <m:t>𝑓</m:t>
                        </m:r>
                        <m:r>
                          <a:rPr kumimoji="1" lang="en-US" altLang="ja-JP" sz="1600" b="0" i="1">
                            <a:solidFill>
                              <a:schemeClr val="tx1"/>
                            </a:solidFill>
                            <a:effectLst/>
                            <a:latin typeface="Cambria Math" panose="02040503050406030204" pitchFamily="18" charset="0"/>
                            <a:ea typeface="+mn-ea"/>
                            <a:cs typeface="+mn-cs"/>
                          </a:rPr>
                          <m:t>,</m:t>
                        </m:r>
                        <m:r>
                          <a:rPr kumimoji="1" lang="en-US" altLang="ja-JP" sz="1600" b="0" i="1">
                            <a:solidFill>
                              <a:schemeClr val="tx1"/>
                            </a:solidFill>
                            <a:effectLst/>
                            <a:latin typeface="Cambria Math" panose="02040503050406030204" pitchFamily="18" charset="0"/>
                            <a:ea typeface="+mn-ea"/>
                            <a:cs typeface="+mn-cs"/>
                          </a:rPr>
                          <m:t>𝑐</m:t>
                        </m:r>
                      </m:sub>
                    </m:sSub>
                    <m:r>
                      <a:rPr kumimoji="1" lang="en-US" altLang="ja-JP" sz="1600" b="0" i="1">
                        <a:solidFill>
                          <a:schemeClr val="tx1"/>
                        </a:solidFill>
                        <a:effectLst/>
                        <a:latin typeface="Cambria Math" panose="02040503050406030204" pitchFamily="18" charset="0"/>
                        <a:ea typeface="+mn-ea"/>
                        <a:cs typeface="+mn-cs"/>
                      </a:rPr>
                      <m:t>+</m:t>
                    </m:r>
                    <m:sSub>
                      <m:sSubPr>
                        <m:ctrlPr>
                          <a:rPr kumimoji="1" lang="en-US" altLang="ja-JP" sz="1600" b="0" i="1">
                            <a:solidFill>
                              <a:schemeClr val="tx1"/>
                            </a:solidFill>
                            <a:effectLst/>
                            <a:latin typeface="Cambria Math" panose="02040503050406030204" pitchFamily="18" charset="0"/>
                            <a:ea typeface="+mn-ea"/>
                            <a:cs typeface="+mn-cs"/>
                          </a:rPr>
                        </m:ctrlPr>
                      </m:sSubPr>
                      <m:e>
                        <m:r>
                          <a:rPr kumimoji="1" lang="ja-JP" altLang="en-US" sz="1600" b="0" i="1">
                            <a:solidFill>
                              <a:schemeClr val="tx1"/>
                            </a:solidFill>
                            <a:effectLst/>
                            <a:latin typeface="Cambria Math" panose="02040503050406030204" pitchFamily="18" charset="0"/>
                            <a:ea typeface="+mn-ea"/>
                            <a:cs typeface="+mn-cs"/>
                          </a:rPr>
                          <m:t>𝛾</m:t>
                        </m:r>
                      </m:e>
                      <m:sub>
                        <m:r>
                          <a:rPr kumimoji="1" lang="en-US" altLang="ja-JP" sz="1600" b="0" i="1">
                            <a:solidFill>
                              <a:schemeClr val="tx1"/>
                            </a:solidFill>
                            <a:effectLst/>
                            <a:latin typeface="Cambria Math" panose="02040503050406030204" pitchFamily="18" charset="0"/>
                            <a:ea typeface="+mn-ea"/>
                            <a:cs typeface="+mn-cs"/>
                          </a:rPr>
                          <m:t>5</m:t>
                        </m:r>
                      </m:sub>
                    </m:sSub>
                  </m:oMath>
                </m:oMathPara>
              </a14:m>
              <a:endParaRPr kumimoji="1" lang="ja-JP" altLang="en-US" sz="1600" i="1"/>
            </a:p>
          </xdr:txBody>
        </xdr:sp>
      </mc:Choice>
      <mc:Fallback xmlns="">
        <xdr:sp macro="" textlink="">
          <xdr:nvSpPr>
            <xdr:cNvPr id="6" name="テキスト ボックス 5">
              <a:extLst>
                <a:ext uri="{FF2B5EF4-FFF2-40B4-BE49-F238E27FC236}">
                  <a16:creationId xmlns:a16="http://schemas.microsoft.com/office/drawing/2014/main" id="{DBD13529-60FE-4548-97D8-7A161690C6A7}"/>
                </a:ext>
              </a:extLst>
            </xdr:cNvPr>
            <xdr:cNvSpPr txBox="1"/>
          </xdr:nvSpPr>
          <xdr:spPr>
            <a:xfrm>
              <a:off x="7458075" y="2143125"/>
              <a:ext cx="4170822" cy="28802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𝐶_(𝑊,𝑐)=</a:t>
              </a:r>
              <a:r>
                <a:rPr kumimoji="1" lang="ja-JP" altLang="en-US" sz="1600" b="0" i="0">
                  <a:latin typeface="Cambria Math" panose="02040503050406030204" pitchFamily="18" charset="0"/>
                </a:rPr>
                <a:t>𝛾</a:t>
              </a:r>
              <a:r>
                <a:rPr kumimoji="1" lang="en-US" altLang="ja-JP" sz="1600" b="0" i="0">
                  <a:latin typeface="Cambria Math" panose="02040503050406030204" pitchFamily="18" charset="0"/>
                </a:rPr>
                <a:t>_1 〖𝐶_(𝑓,𝑐)〗^4+</a:t>
              </a:r>
              <a:r>
                <a:rPr kumimoji="1" lang="ja-JP" altLang="en-US" sz="1600" b="0" i="0">
                  <a:latin typeface="Cambria Math" panose="02040503050406030204" pitchFamily="18" charset="0"/>
                </a:rPr>
                <a:t>𝛾</a:t>
              </a:r>
              <a:r>
                <a:rPr kumimoji="1" lang="en-US" altLang="ja-JP" sz="1600" b="0" i="0">
                  <a:latin typeface="Cambria Math" panose="02040503050406030204" pitchFamily="18" charset="0"/>
                </a:rPr>
                <a:t>_2</a:t>
              </a:r>
              <a:r>
                <a:rPr kumimoji="1" lang="en-US" altLang="ja-JP" sz="1600" b="0" i="0">
                  <a:solidFill>
                    <a:schemeClr val="tx1"/>
                  </a:solidFill>
                  <a:effectLst/>
                  <a:latin typeface="Cambria Math" panose="02040503050406030204" pitchFamily="18" charset="0"/>
                  <a:ea typeface="+mn-ea"/>
                  <a:cs typeface="+mn-cs"/>
                </a:rPr>
                <a:t> 〖𝐶_(𝑓,𝑐)〗^3+</a:t>
              </a:r>
              <a:r>
                <a:rPr kumimoji="1" lang="ja-JP" altLang="en-US" sz="1600" b="0" i="0">
                  <a:solidFill>
                    <a:schemeClr val="tx1"/>
                  </a:solidFill>
                  <a:effectLst/>
                  <a:latin typeface="Cambria Math" panose="02040503050406030204" pitchFamily="18" charset="0"/>
                  <a:ea typeface="+mn-ea"/>
                  <a:cs typeface="+mn-cs"/>
                </a:rPr>
                <a:t>𝛾</a:t>
              </a:r>
              <a:r>
                <a:rPr kumimoji="1" lang="en-US" altLang="ja-JP" sz="1600" b="0" i="0">
                  <a:solidFill>
                    <a:schemeClr val="tx1"/>
                  </a:solidFill>
                  <a:effectLst/>
                  <a:latin typeface="Cambria Math" panose="02040503050406030204" pitchFamily="18" charset="0"/>
                  <a:ea typeface="+mn-ea"/>
                  <a:cs typeface="+mn-cs"/>
                </a:rPr>
                <a:t>_3 〖𝐶_(𝑓,𝑐)〗^2+</a:t>
              </a:r>
              <a:r>
                <a:rPr kumimoji="1" lang="ja-JP" altLang="en-US" sz="1600" b="0" i="0">
                  <a:solidFill>
                    <a:schemeClr val="tx1"/>
                  </a:solidFill>
                  <a:effectLst/>
                  <a:latin typeface="Cambria Math" panose="02040503050406030204" pitchFamily="18" charset="0"/>
                  <a:ea typeface="+mn-ea"/>
                  <a:cs typeface="+mn-cs"/>
                </a:rPr>
                <a:t>𝛾</a:t>
              </a:r>
              <a:r>
                <a:rPr kumimoji="1" lang="en-US" altLang="ja-JP" sz="1600" b="0" i="0">
                  <a:solidFill>
                    <a:schemeClr val="tx1"/>
                  </a:solidFill>
                  <a:effectLst/>
                  <a:latin typeface="Cambria Math" panose="02040503050406030204" pitchFamily="18" charset="0"/>
                  <a:ea typeface="+mn-ea"/>
                  <a:cs typeface="+mn-cs"/>
                </a:rPr>
                <a:t>_4 𝐶_(𝑓,𝑐)+</a:t>
              </a:r>
              <a:r>
                <a:rPr kumimoji="1" lang="ja-JP" altLang="en-US" sz="1600" b="0" i="0">
                  <a:solidFill>
                    <a:schemeClr val="tx1"/>
                  </a:solidFill>
                  <a:effectLst/>
                  <a:latin typeface="Cambria Math" panose="02040503050406030204" pitchFamily="18" charset="0"/>
                  <a:ea typeface="+mn-ea"/>
                  <a:cs typeface="+mn-cs"/>
                </a:rPr>
                <a:t>𝛾</a:t>
              </a:r>
              <a:r>
                <a:rPr kumimoji="1" lang="en-US" altLang="ja-JP" sz="1600" b="0" i="0">
                  <a:solidFill>
                    <a:schemeClr val="tx1"/>
                  </a:solidFill>
                  <a:effectLst/>
                  <a:latin typeface="Cambria Math" panose="02040503050406030204" pitchFamily="18" charset="0"/>
                  <a:ea typeface="+mn-ea"/>
                  <a:cs typeface="+mn-cs"/>
                </a:rPr>
                <a:t>_5</a:t>
              </a:r>
              <a:endParaRPr kumimoji="1" lang="ja-JP" altLang="en-US" sz="1600" i="1"/>
            </a:p>
          </xdr:txBody>
        </xdr:sp>
      </mc:Fallback>
    </mc:AlternateContent>
    <xdr:clientData/>
  </xdr:oneCellAnchor>
  <xdr:oneCellAnchor>
    <xdr:from>
      <xdr:col>20</xdr:col>
      <xdr:colOff>0</xdr:colOff>
      <xdr:row>11</xdr:row>
      <xdr:rowOff>0</xdr:rowOff>
    </xdr:from>
    <xdr:ext cx="1761187" cy="277448"/>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D9A268BC-E81C-41B0-8CAC-C1A0DC703356}"/>
                </a:ext>
              </a:extLst>
            </xdr:cNvPr>
            <xdr:cNvSpPr txBox="1"/>
          </xdr:nvSpPr>
          <xdr:spPr>
            <a:xfrm>
              <a:off x="7458075" y="2619375"/>
              <a:ext cx="1761187" cy="27744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𝑊</m:t>
                        </m:r>
                      </m:e>
                      <m:sub>
                        <m:r>
                          <a:rPr kumimoji="1" lang="en-US" altLang="ja-JP" sz="1600" b="0" i="1">
                            <a:latin typeface="Cambria Math" panose="02040503050406030204" pitchFamily="18" charset="0"/>
                          </a:rPr>
                          <m:t>𝑐</m:t>
                        </m:r>
                      </m:sub>
                    </m:sSub>
                    <m:r>
                      <a:rPr kumimoji="1" lang="en-US" altLang="ja-JP" sz="1600" b="0" i="1">
                        <a:latin typeface="Cambria Math" panose="02040503050406030204" pitchFamily="18" charset="0"/>
                      </a:rPr>
                      <m:t>=</m:t>
                    </m:r>
                    <m:r>
                      <a:rPr kumimoji="1" lang="ja-JP" altLang="en-US" sz="1600" b="0" i="1">
                        <a:latin typeface="Cambria Math" panose="02040503050406030204" pitchFamily="18" charset="0"/>
                      </a:rPr>
                      <m:t>𝜌</m:t>
                    </m:r>
                    <m:sSup>
                      <m:sSupPr>
                        <m:ctrlPr>
                          <a:rPr kumimoji="1" lang="en-US" altLang="ja-JP" sz="1600" b="0" i="1">
                            <a:latin typeface="Cambria Math" panose="02040503050406030204" pitchFamily="18" charset="0"/>
                          </a:rPr>
                        </m:ctrlPr>
                      </m:sSupPr>
                      <m:e>
                        <m:sSub>
                          <m:sSubPr>
                            <m:ctrlPr>
                              <a:rPr kumimoji="1" lang="en-US" altLang="ja-JP" sz="1600" b="0" i="1">
                                <a:latin typeface="Cambria Math" panose="02040503050406030204" pitchFamily="18" charset="0"/>
                              </a:rPr>
                            </m:ctrlPr>
                          </m:sSubPr>
                          <m:e>
                            <m:r>
                              <a:rPr kumimoji="1" lang="en-US" altLang="ja-JP" sz="1600" b="0" i="1">
                                <a:latin typeface="Cambria Math" panose="02040503050406030204" pitchFamily="18" charset="0"/>
                              </a:rPr>
                              <m:t>𝑁</m:t>
                            </m:r>
                          </m:e>
                          <m:sub>
                            <m:r>
                              <a:rPr kumimoji="1" lang="en-US" altLang="ja-JP" sz="1600" b="0" i="1">
                                <a:latin typeface="Cambria Math" panose="02040503050406030204" pitchFamily="18" charset="0"/>
                              </a:rPr>
                              <m:t>𝑐</m:t>
                            </m:r>
                          </m:sub>
                        </m:sSub>
                      </m:e>
                      <m:sup>
                        <m:r>
                          <a:rPr kumimoji="1" lang="en-US" altLang="ja-JP" sz="1600" b="0" i="1">
                            <a:latin typeface="Cambria Math" panose="02040503050406030204" pitchFamily="18" charset="0"/>
                          </a:rPr>
                          <m:t>3</m:t>
                        </m:r>
                      </m:sup>
                    </m:sSup>
                    <m:sSup>
                      <m:sSupPr>
                        <m:ctrlPr>
                          <a:rPr kumimoji="1" lang="en-US" altLang="ja-JP" sz="1600" b="0" i="1">
                            <a:latin typeface="Cambria Math" panose="02040503050406030204" pitchFamily="18" charset="0"/>
                          </a:rPr>
                        </m:ctrlPr>
                      </m:sSupPr>
                      <m:e>
                        <m:r>
                          <a:rPr kumimoji="1" lang="en-US" altLang="ja-JP" sz="1600" b="0" i="1">
                            <a:latin typeface="Cambria Math" panose="02040503050406030204" pitchFamily="18" charset="0"/>
                          </a:rPr>
                          <m:t>𝐷</m:t>
                        </m:r>
                      </m:e>
                      <m:sup>
                        <m:r>
                          <a:rPr kumimoji="1" lang="en-US" altLang="ja-JP" sz="1600" b="0" i="1">
                            <a:latin typeface="Cambria Math" panose="02040503050406030204" pitchFamily="18" charset="0"/>
                          </a:rPr>
                          <m:t>5</m:t>
                        </m:r>
                      </m:sup>
                    </m:sSup>
                    <m:r>
                      <a:rPr kumimoji="1" lang="en-US" altLang="ja-JP" sz="1600" b="0" i="1">
                        <a:latin typeface="Cambria Math" panose="02040503050406030204" pitchFamily="18" charset="0"/>
                        <a:ea typeface="Cambria Math" panose="02040503050406030204" pitchFamily="18" charset="0"/>
                      </a:rPr>
                      <m:t>∙</m:t>
                    </m:r>
                    <m:sSub>
                      <m:sSubPr>
                        <m:ctrlPr>
                          <a:rPr kumimoji="1" lang="en-US" altLang="ja-JP" sz="1600" b="0" i="1">
                            <a:latin typeface="Cambria Math" panose="02040503050406030204" pitchFamily="18" charset="0"/>
                            <a:ea typeface="Cambria Math" panose="02040503050406030204" pitchFamily="18" charset="0"/>
                          </a:rPr>
                        </m:ctrlPr>
                      </m:sSubPr>
                      <m:e>
                        <m:r>
                          <a:rPr kumimoji="1" lang="en-US" altLang="ja-JP" sz="1600" b="0" i="1">
                            <a:latin typeface="Cambria Math" panose="02040503050406030204" pitchFamily="18" charset="0"/>
                            <a:ea typeface="Cambria Math" panose="02040503050406030204" pitchFamily="18" charset="0"/>
                          </a:rPr>
                          <m:t>𝐶</m:t>
                        </m:r>
                      </m:e>
                      <m:sub>
                        <m:r>
                          <a:rPr kumimoji="1" lang="en-US" altLang="ja-JP" sz="1600" b="0" i="1">
                            <a:latin typeface="Cambria Math" panose="02040503050406030204" pitchFamily="18" charset="0"/>
                            <a:ea typeface="Cambria Math" panose="02040503050406030204" pitchFamily="18" charset="0"/>
                          </a:rPr>
                          <m:t>𝑊</m:t>
                        </m:r>
                        <m:r>
                          <a:rPr kumimoji="1" lang="en-US" altLang="ja-JP" sz="1600" b="0" i="1">
                            <a:latin typeface="Cambria Math" panose="02040503050406030204" pitchFamily="18" charset="0"/>
                            <a:ea typeface="Cambria Math" panose="02040503050406030204" pitchFamily="18" charset="0"/>
                          </a:rPr>
                          <m:t>,</m:t>
                        </m:r>
                        <m:r>
                          <a:rPr kumimoji="1" lang="en-US" altLang="ja-JP" sz="1600" b="0" i="1">
                            <a:latin typeface="Cambria Math" panose="02040503050406030204" pitchFamily="18" charset="0"/>
                            <a:ea typeface="Cambria Math" panose="02040503050406030204" pitchFamily="18" charset="0"/>
                          </a:rPr>
                          <m:t>𝑐</m:t>
                        </m:r>
                      </m:sub>
                    </m:sSub>
                  </m:oMath>
                </m:oMathPara>
              </a14:m>
              <a:endParaRPr kumimoji="1" lang="ja-JP" altLang="en-US" sz="1600" i="1"/>
            </a:p>
          </xdr:txBody>
        </xdr:sp>
      </mc:Choice>
      <mc:Fallback xmlns="">
        <xdr:sp macro="" textlink="">
          <xdr:nvSpPr>
            <xdr:cNvPr id="7" name="テキスト ボックス 6">
              <a:extLst>
                <a:ext uri="{FF2B5EF4-FFF2-40B4-BE49-F238E27FC236}">
                  <a16:creationId xmlns:a16="http://schemas.microsoft.com/office/drawing/2014/main" id="{D9A268BC-E81C-41B0-8CAC-C1A0DC703356}"/>
                </a:ext>
              </a:extLst>
            </xdr:cNvPr>
            <xdr:cNvSpPr txBox="1"/>
          </xdr:nvSpPr>
          <xdr:spPr>
            <a:xfrm>
              <a:off x="7458075" y="2619375"/>
              <a:ext cx="1761187" cy="277448"/>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𝑊_𝑐=</a:t>
              </a:r>
              <a:r>
                <a:rPr kumimoji="1" lang="ja-JP" altLang="en-US" sz="1600" b="0" i="0">
                  <a:latin typeface="Cambria Math" panose="02040503050406030204" pitchFamily="18" charset="0"/>
                </a:rPr>
                <a:t>𝜌</a:t>
              </a:r>
              <a:r>
                <a:rPr kumimoji="1" lang="en-US" altLang="ja-JP" sz="1600" b="0" i="0">
                  <a:latin typeface="Cambria Math" panose="02040503050406030204" pitchFamily="18" charset="0"/>
                </a:rPr>
                <a:t>〖𝑁_𝑐〗^3 𝐷^5</a:t>
              </a:r>
              <a:r>
                <a:rPr kumimoji="1" lang="en-US" altLang="ja-JP" sz="1600" b="0" i="0">
                  <a:latin typeface="Cambria Math" panose="02040503050406030204" pitchFamily="18" charset="0"/>
                  <a:ea typeface="Cambria Math" panose="02040503050406030204" pitchFamily="18" charset="0"/>
                </a:rPr>
                <a:t>∙𝐶_(𝑊,𝑐)</a:t>
              </a:r>
              <a:endParaRPr kumimoji="1" lang="ja-JP" altLang="en-US" sz="1600" i="1"/>
            </a:p>
          </xdr:txBody>
        </xdr:sp>
      </mc:Fallback>
    </mc:AlternateContent>
    <xdr:clientData/>
  </xdr:oneCellAnchor>
  <xdr:twoCellAnchor>
    <xdr:from>
      <xdr:col>21</xdr:col>
      <xdr:colOff>0</xdr:colOff>
      <xdr:row>26</xdr:row>
      <xdr:rowOff>0</xdr:rowOff>
    </xdr:from>
    <xdr:to>
      <xdr:col>26</xdr:col>
      <xdr:colOff>723900</xdr:colOff>
      <xdr:row>38</xdr:row>
      <xdr:rowOff>0</xdr:rowOff>
    </xdr:to>
    <xdr:graphicFrame macro="">
      <xdr:nvGraphicFramePr>
        <xdr:cNvPr id="12" name="グラフ 11">
          <a:extLst>
            <a:ext uri="{FF2B5EF4-FFF2-40B4-BE49-F238E27FC236}">
              <a16:creationId xmlns:a16="http://schemas.microsoft.com/office/drawing/2014/main" id="{991F664F-E2D9-4F36-B8B7-C727B11C7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38100</xdr:colOff>
      <xdr:row>38</xdr:row>
      <xdr:rowOff>0</xdr:rowOff>
    </xdr:from>
    <xdr:to>
      <xdr:col>37</xdr:col>
      <xdr:colOff>0</xdr:colOff>
      <xdr:row>50</xdr:row>
      <xdr:rowOff>0</xdr:rowOff>
    </xdr:to>
    <xdr:graphicFrame macro="">
      <xdr:nvGraphicFramePr>
        <xdr:cNvPr id="13" name="グラフ 12">
          <a:extLst>
            <a:ext uri="{FF2B5EF4-FFF2-40B4-BE49-F238E27FC236}">
              <a16:creationId xmlns:a16="http://schemas.microsoft.com/office/drawing/2014/main" id="{0459F5DE-6041-3FB7-F698-626F1DE33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26</xdr:row>
      <xdr:rowOff>0</xdr:rowOff>
    </xdr:from>
    <xdr:to>
      <xdr:col>36</xdr:col>
      <xdr:colOff>2400301</xdr:colOff>
      <xdr:row>38</xdr:row>
      <xdr:rowOff>0</xdr:rowOff>
    </xdr:to>
    <xdr:graphicFrame macro="">
      <xdr:nvGraphicFramePr>
        <xdr:cNvPr id="14" name="グラフ 13">
          <a:extLst>
            <a:ext uri="{FF2B5EF4-FFF2-40B4-BE49-F238E27FC236}">
              <a16:creationId xmlns:a16="http://schemas.microsoft.com/office/drawing/2014/main" id="{12827701-5C45-4BA1-A0C3-5F381B134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17</xdr:col>
      <xdr:colOff>0</xdr:colOff>
      <xdr:row>6</xdr:row>
      <xdr:rowOff>6722</xdr:rowOff>
    </xdr:from>
    <xdr:ext cx="1381789" cy="250453"/>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33FBC41A-F2E4-47F0-8DAA-37BA465DCD52}"/>
                </a:ext>
              </a:extLst>
            </xdr:cNvPr>
            <xdr:cNvSpPr txBox="1"/>
          </xdr:nvSpPr>
          <xdr:spPr>
            <a:xfrm>
              <a:off x="4371975" y="1435472"/>
              <a:ext cx="1381789" cy="25045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solidFill>
                          <a:srgbClr val="FF0000"/>
                        </a:solidFill>
                        <a:latin typeface="Cambria Math" panose="02040503050406030204" pitchFamily="18" charset="0"/>
                      </a:rPr>
                      <m:t>𝐸</m:t>
                    </m:r>
                    <m:r>
                      <a:rPr kumimoji="1" lang="en-US" altLang="ja-JP" sz="1600" b="0" i="1">
                        <a:solidFill>
                          <a:srgbClr val="FF0000"/>
                        </a:solidFill>
                        <a:latin typeface="Cambria Math" panose="02040503050406030204" pitchFamily="18" charset="0"/>
                      </a:rPr>
                      <m:t>=</m:t>
                    </m:r>
                    <m:r>
                      <a:rPr kumimoji="1" lang="en-US" altLang="ja-JP" sz="1600" b="0" i="1">
                        <a:solidFill>
                          <a:srgbClr val="FF0000"/>
                        </a:solidFill>
                        <a:latin typeface="Cambria Math" panose="02040503050406030204" pitchFamily="18" charset="0"/>
                      </a:rPr>
                      <m:t>𝑊</m:t>
                    </m:r>
                    <m:r>
                      <a:rPr kumimoji="1" lang="en-US" altLang="ja-JP" sz="1600" b="0" i="1">
                        <a:solidFill>
                          <a:srgbClr val="FF0000"/>
                        </a:solidFill>
                        <a:latin typeface="Cambria Math" panose="02040503050406030204" pitchFamily="18" charset="0"/>
                        <a:ea typeface="Cambria Math" panose="02040503050406030204" pitchFamily="18" charset="0"/>
                      </a:rPr>
                      <m:t>∙</m:t>
                    </m:r>
                    <m:sSub>
                      <m:sSubPr>
                        <m:ctrlPr>
                          <a:rPr kumimoji="1" lang="en-US" altLang="ja-JP" sz="1600" b="0" i="1">
                            <a:solidFill>
                              <a:srgbClr val="FF0000"/>
                            </a:solidFill>
                            <a:latin typeface="Cambria Math" panose="02040503050406030204" pitchFamily="18" charset="0"/>
                            <a:ea typeface="Cambria Math" panose="02040503050406030204" pitchFamily="18" charset="0"/>
                          </a:rPr>
                        </m:ctrlPr>
                      </m:sSubPr>
                      <m:e>
                        <m:r>
                          <a:rPr kumimoji="1" lang="ja-JP" altLang="en-US" sz="1600" b="0" i="1">
                            <a:solidFill>
                              <a:srgbClr val="FF0000"/>
                            </a:solidFill>
                            <a:latin typeface="Cambria Math" panose="02040503050406030204" pitchFamily="18" charset="0"/>
                            <a:ea typeface="Cambria Math" panose="02040503050406030204" pitchFamily="18" charset="0"/>
                          </a:rPr>
                          <m:t>𝜂</m:t>
                        </m:r>
                      </m:e>
                      <m:sub>
                        <m:r>
                          <a:rPr kumimoji="1" lang="en-US" altLang="ja-JP" sz="1600" b="0" i="1">
                            <a:solidFill>
                              <a:srgbClr val="FF0000"/>
                            </a:solidFill>
                            <a:latin typeface="Cambria Math" panose="02040503050406030204" pitchFamily="18" charset="0"/>
                            <a:ea typeface="Cambria Math" panose="02040503050406030204" pitchFamily="18" charset="0"/>
                          </a:rPr>
                          <m:t>𝐼</m:t>
                        </m:r>
                      </m:sub>
                    </m:sSub>
                    <m:r>
                      <a:rPr kumimoji="1" lang="en-US" altLang="ja-JP" sz="1600" b="0" i="1">
                        <a:solidFill>
                          <a:srgbClr val="FF0000"/>
                        </a:solidFill>
                        <a:latin typeface="Cambria Math" panose="02040503050406030204" pitchFamily="18" charset="0"/>
                        <a:ea typeface="Cambria Math" panose="02040503050406030204" pitchFamily="18" charset="0"/>
                      </a:rPr>
                      <m:t>∙</m:t>
                    </m:r>
                    <m:sSub>
                      <m:sSubPr>
                        <m:ctrlPr>
                          <a:rPr kumimoji="1" lang="en-US" altLang="ja-JP" sz="1600" b="0" i="1">
                            <a:solidFill>
                              <a:srgbClr val="FF0000"/>
                            </a:solidFill>
                            <a:latin typeface="Cambria Math" panose="02040503050406030204" pitchFamily="18" charset="0"/>
                            <a:ea typeface="Cambria Math" panose="02040503050406030204" pitchFamily="18" charset="0"/>
                          </a:rPr>
                        </m:ctrlPr>
                      </m:sSubPr>
                      <m:e>
                        <m:r>
                          <a:rPr kumimoji="1" lang="ja-JP" altLang="en-US" sz="1600" b="0" i="1">
                            <a:solidFill>
                              <a:srgbClr val="FF0000"/>
                            </a:solidFill>
                            <a:latin typeface="Cambria Math" panose="02040503050406030204" pitchFamily="18" charset="0"/>
                            <a:ea typeface="Cambria Math" panose="02040503050406030204" pitchFamily="18" charset="0"/>
                          </a:rPr>
                          <m:t>𝜂</m:t>
                        </m:r>
                      </m:e>
                      <m:sub>
                        <m:r>
                          <a:rPr kumimoji="1" lang="en-US" altLang="ja-JP" sz="1600" b="0" i="1">
                            <a:solidFill>
                              <a:srgbClr val="FF0000"/>
                            </a:solidFill>
                            <a:latin typeface="Cambria Math" panose="02040503050406030204" pitchFamily="18" charset="0"/>
                            <a:ea typeface="Cambria Math" panose="02040503050406030204" pitchFamily="18" charset="0"/>
                          </a:rPr>
                          <m:t>𝑀</m:t>
                        </m:r>
                      </m:sub>
                    </m:sSub>
                  </m:oMath>
                </m:oMathPara>
              </a14:m>
              <a:endParaRPr kumimoji="1" lang="ja-JP" altLang="en-US" sz="1600" i="1">
                <a:solidFill>
                  <a:srgbClr val="FF0000"/>
                </a:solidFill>
              </a:endParaRPr>
            </a:p>
          </xdr:txBody>
        </xdr:sp>
      </mc:Choice>
      <mc:Fallback xmlns="">
        <xdr:sp macro="" textlink="">
          <xdr:nvSpPr>
            <xdr:cNvPr id="2" name="テキスト ボックス 1">
              <a:extLst>
                <a:ext uri="{FF2B5EF4-FFF2-40B4-BE49-F238E27FC236}">
                  <a16:creationId xmlns:a16="http://schemas.microsoft.com/office/drawing/2014/main" id="{33FBC41A-F2E4-47F0-8DAA-37BA465DCD52}"/>
                </a:ext>
              </a:extLst>
            </xdr:cNvPr>
            <xdr:cNvSpPr txBox="1"/>
          </xdr:nvSpPr>
          <xdr:spPr>
            <a:xfrm>
              <a:off x="4371975" y="1435472"/>
              <a:ext cx="1381789" cy="250453"/>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solidFill>
                    <a:srgbClr val="FF0000"/>
                  </a:solidFill>
                  <a:latin typeface="Cambria Math" panose="02040503050406030204" pitchFamily="18" charset="0"/>
                </a:rPr>
                <a:t>𝐸=𝑊</a:t>
              </a:r>
              <a:r>
                <a:rPr kumimoji="1" lang="en-US" altLang="ja-JP" sz="1600" b="0" i="0">
                  <a:solidFill>
                    <a:srgbClr val="FF0000"/>
                  </a:solidFill>
                  <a:latin typeface="Cambria Math" panose="02040503050406030204" pitchFamily="18" charset="0"/>
                  <a:ea typeface="Cambria Math" panose="02040503050406030204" pitchFamily="18" charset="0"/>
                </a:rPr>
                <a:t>∙</a:t>
              </a:r>
              <a:r>
                <a:rPr kumimoji="1" lang="ja-JP" altLang="en-US" sz="1600" b="0" i="0">
                  <a:solidFill>
                    <a:srgbClr val="FF0000"/>
                  </a:solidFill>
                  <a:latin typeface="Cambria Math" panose="02040503050406030204" pitchFamily="18" charset="0"/>
                  <a:ea typeface="Cambria Math" panose="02040503050406030204" pitchFamily="18" charset="0"/>
                </a:rPr>
                <a:t>𝜂</a:t>
              </a:r>
              <a:r>
                <a:rPr kumimoji="1" lang="en-US" altLang="ja-JP" sz="1600" b="0" i="0">
                  <a:solidFill>
                    <a:srgbClr val="FF0000"/>
                  </a:solidFill>
                  <a:latin typeface="Cambria Math" panose="02040503050406030204" pitchFamily="18" charset="0"/>
                  <a:ea typeface="Cambria Math" panose="02040503050406030204" pitchFamily="18" charset="0"/>
                </a:rPr>
                <a:t>_𝐼∙</a:t>
              </a:r>
              <a:r>
                <a:rPr kumimoji="1" lang="ja-JP" altLang="en-US" sz="1600" b="0" i="0">
                  <a:solidFill>
                    <a:srgbClr val="FF0000"/>
                  </a:solidFill>
                  <a:latin typeface="Cambria Math" panose="02040503050406030204" pitchFamily="18" charset="0"/>
                  <a:ea typeface="Cambria Math" panose="02040503050406030204" pitchFamily="18" charset="0"/>
                </a:rPr>
                <a:t>𝜂</a:t>
              </a:r>
              <a:r>
                <a:rPr kumimoji="1" lang="en-US" altLang="ja-JP" sz="1600" b="0" i="0">
                  <a:solidFill>
                    <a:srgbClr val="FF0000"/>
                  </a:solidFill>
                  <a:latin typeface="Cambria Math" panose="02040503050406030204" pitchFamily="18" charset="0"/>
                  <a:ea typeface="Cambria Math" panose="02040503050406030204" pitchFamily="18" charset="0"/>
                </a:rPr>
                <a:t>_𝑀</a:t>
              </a:r>
              <a:endParaRPr kumimoji="1" lang="ja-JP" altLang="en-US" sz="1600" i="1">
                <a:solidFill>
                  <a:srgbClr val="FF0000"/>
                </a:solidFill>
              </a:endParaRPr>
            </a:p>
          </xdr:txBody>
        </xdr:sp>
      </mc:Fallback>
    </mc:AlternateContent>
    <xdr:clientData/>
  </xdr:oneCellAnchor>
  <xdr:oneCellAnchor>
    <xdr:from>
      <xdr:col>20</xdr:col>
      <xdr:colOff>561975</xdr:colOff>
      <xdr:row>5</xdr:row>
      <xdr:rowOff>254372</xdr:rowOff>
    </xdr:from>
    <xdr:ext cx="847540" cy="501291"/>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F64C1C46-921A-B4F2-63D8-EA22AD10EAB0}"/>
                </a:ext>
              </a:extLst>
            </xdr:cNvPr>
            <xdr:cNvSpPr txBox="1"/>
          </xdr:nvSpPr>
          <xdr:spPr>
            <a:xfrm>
              <a:off x="9629775" y="1502147"/>
              <a:ext cx="847540" cy="501291"/>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kumimoji="1" lang="en-US" altLang="ja-JP" sz="1600" b="0" i="1">
                        <a:latin typeface="Cambria Math" panose="02040503050406030204" pitchFamily="18" charset="0"/>
                      </a:rPr>
                      <m:t>𝐸</m:t>
                    </m:r>
                    <m:r>
                      <a:rPr kumimoji="1" lang="en-US" altLang="ja-JP" sz="1600" b="0" i="1">
                        <a:latin typeface="Cambria Math" panose="02040503050406030204" pitchFamily="18" charset="0"/>
                      </a:rPr>
                      <m:t>=</m:t>
                    </m:r>
                    <m:f>
                      <m:fPr>
                        <m:ctrlPr>
                          <a:rPr kumimoji="1" lang="en-US" altLang="ja-JP" sz="1600" b="0" i="1">
                            <a:latin typeface="Cambria Math" panose="02040503050406030204" pitchFamily="18" charset="0"/>
                          </a:rPr>
                        </m:ctrlPr>
                      </m:fPr>
                      <m:num>
                        <m:r>
                          <a:rPr kumimoji="1" lang="en-US" altLang="ja-JP" sz="1600" b="0" i="1">
                            <a:latin typeface="Cambria Math" panose="02040503050406030204" pitchFamily="18" charset="0"/>
                          </a:rPr>
                          <m:t>𝑊</m:t>
                        </m:r>
                      </m:num>
                      <m:den>
                        <m:sSub>
                          <m:sSubPr>
                            <m:ctrlPr>
                              <a:rPr kumimoji="1" lang="en-US" altLang="ja-JP" sz="1100" b="0" i="1">
                                <a:solidFill>
                                  <a:schemeClr val="tx1"/>
                                </a:solidFill>
                                <a:effectLst/>
                                <a:latin typeface="Cambria Math" panose="02040503050406030204" pitchFamily="18" charset="0"/>
                                <a:ea typeface="+mn-ea"/>
                                <a:cs typeface="+mn-cs"/>
                              </a:rPr>
                            </m:ctrlPr>
                          </m:sSubPr>
                          <m:e>
                            <m:r>
                              <a:rPr kumimoji="1" lang="ja-JP" altLang="en-US" sz="1100" b="0" i="1">
                                <a:solidFill>
                                  <a:schemeClr val="tx1"/>
                                </a:solidFill>
                                <a:effectLst/>
                                <a:latin typeface="Cambria Math" panose="02040503050406030204" pitchFamily="18" charset="0"/>
                                <a:ea typeface="+mn-ea"/>
                                <a:cs typeface="+mn-cs"/>
                              </a:rPr>
                              <m:t>𝜂</m:t>
                            </m:r>
                          </m:e>
                          <m:sub>
                            <m:r>
                              <a:rPr kumimoji="1" lang="en-US" altLang="ja-JP" sz="1100" b="0" i="1">
                                <a:solidFill>
                                  <a:schemeClr val="tx1"/>
                                </a:solidFill>
                                <a:effectLst/>
                                <a:latin typeface="Cambria Math" panose="02040503050406030204" pitchFamily="18" charset="0"/>
                                <a:ea typeface="+mn-ea"/>
                                <a:cs typeface="+mn-cs"/>
                              </a:rPr>
                              <m:t>𝐼</m:t>
                            </m:r>
                          </m:sub>
                        </m:sSub>
                        <m:r>
                          <a:rPr kumimoji="1" lang="en-US" altLang="ja-JP" sz="1100" b="0" i="1">
                            <a:solidFill>
                              <a:schemeClr val="tx1"/>
                            </a:solidFill>
                            <a:effectLst/>
                            <a:latin typeface="Cambria Math" panose="02040503050406030204" pitchFamily="18" charset="0"/>
                            <a:ea typeface="+mn-ea"/>
                            <a:cs typeface="+mn-cs"/>
                          </a:rPr>
                          <m:t>∙</m:t>
                        </m:r>
                        <m:sSub>
                          <m:sSubPr>
                            <m:ctrlPr>
                              <a:rPr kumimoji="1" lang="en-US" altLang="ja-JP" sz="1100" b="0" i="1">
                                <a:solidFill>
                                  <a:schemeClr val="tx1"/>
                                </a:solidFill>
                                <a:effectLst/>
                                <a:latin typeface="Cambria Math" panose="02040503050406030204" pitchFamily="18" charset="0"/>
                                <a:ea typeface="+mn-ea"/>
                                <a:cs typeface="+mn-cs"/>
                              </a:rPr>
                            </m:ctrlPr>
                          </m:sSubPr>
                          <m:e>
                            <m:r>
                              <a:rPr kumimoji="1" lang="ja-JP" altLang="en-US" sz="1100" b="0" i="1">
                                <a:solidFill>
                                  <a:schemeClr val="tx1"/>
                                </a:solidFill>
                                <a:effectLst/>
                                <a:latin typeface="Cambria Math" panose="02040503050406030204" pitchFamily="18" charset="0"/>
                                <a:ea typeface="+mn-ea"/>
                                <a:cs typeface="+mn-cs"/>
                              </a:rPr>
                              <m:t>𝜂</m:t>
                            </m:r>
                          </m:e>
                          <m:sub>
                            <m:r>
                              <a:rPr kumimoji="1" lang="en-US" altLang="ja-JP" sz="1100" b="0" i="1">
                                <a:solidFill>
                                  <a:schemeClr val="tx1"/>
                                </a:solidFill>
                                <a:effectLst/>
                                <a:latin typeface="Cambria Math" panose="02040503050406030204" pitchFamily="18" charset="0"/>
                                <a:ea typeface="+mn-ea"/>
                                <a:cs typeface="+mn-cs"/>
                              </a:rPr>
                              <m:t>𝑀</m:t>
                            </m:r>
                          </m:sub>
                        </m:sSub>
                      </m:den>
                    </m:f>
                  </m:oMath>
                </m:oMathPara>
              </a14:m>
              <a:endParaRPr kumimoji="1" lang="ja-JP" altLang="en-US" sz="1600" i="1"/>
            </a:p>
          </xdr:txBody>
        </xdr:sp>
      </mc:Choice>
      <mc:Fallback xmlns="">
        <xdr:sp macro="" textlink="">
          <xdr:nvSpPr>
            <xdr:cNvPr id="3" name="テキスト ボックス 2">
              <a:extLst>
                <a:ext uri="{FF2B5EF4-FFF2-40B4-BE49-F238E27FC236}">
                  <a16:creationId xmlns:a16="http://schemas.microsoft.com/office/drawing/2014/main" id="{F64C1C46-921A-B4F2-63D8-EA22AD10EAB0}"/>
                </a:ext>
              </a:extLst>
            </xdr:cNvPr>
            <xdr:cNvSpPr txBox="1"/>
          </xdr:nvSpPr>
          <xdr:spPr>
            <a:xfrm>
              <a:off x="9629775" y="1502147"/>
              <a:ext cx="847540" cy="501291"/>
            </a:xfrm>
            <a:prstGeom prst="rect">
              <a:avLst/>
            </a:prstGeom>
            <a:solidFill>
              <a:schemeClr val="bg1"/>
            </a:solidFill>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1" lang="en-US" altLang="ja-JP" sz="1600" b="0" i="0">
                  <a:latin typeface="Cambria Math" panose="02040503050406030204" pitchFamily="18" charset="0"/>
                </a:rPr>
                <a:t>𝐸=𝑊/(</a:t>
              </a:r>
              <a:r>
                <a:rPr kumimoji="1" lang="ja-JP" altLang="en-US" sz="1100" b="0" i="0">
                  <a:solidFill>
                    <a:schemeClr val="tx1"/>
                  </a:solidFill>
                  <a:effectLst/>
                  <a:latin typeface="+mn-lt"/>
                  <a:ea typeface="+mn-ea"/>
                  <a:cs typeface="+mn-cs"/>
                </a:rPr>
                <a:t>𝜂</a:t>
              </a:r>
              <a:r>
                <a:rPr kumimoji="1" lang="en-US" altLang="ja-JP" sz="1100" b="0" i="0">
                  <a:solidFill>
                    <a:schemeClr val="tx1"/>
                  </a:solidFill>
                  <a:effectLst/>
                  <a:latin typeface="+mn-lt"/>
                  <a:ea typeface="+mn-ea"/>
                  <a:cs typeface="+mn-cs"/>
                </a:rPr>
                <a:t>_𝐼∙</a:t>
              </a:r>
              <a:r>
                <a:rPr kumimoji="1" lang="ja-JP" altLang="en-US" sz="1100" b="0" i="0">
                  <a:solidFill>
                    <a:schemeClr val="tx1"/>
                  </a:solidFill>
                  <a:effectLst/>
                  <a:latin typeface="+mn-lt"/>
                  <a:ea typeface="+mn-ea"/>
                  <a:cs typeface="+mn-cs"/>
                </a:rPr>
                <a:t>𝜂</a:t>
              </a:r>
              <a:r>
                <a:rPr kumimoji="1" lang="en-US" altLang="ja-JP" sz="1100" b="0" i="0">
                  <a:solidFill>
                    <a:schemeClr val="tx1"/>
                  </a:solidFill>
                  <a:effectLst/>
                  <a:latin typeface="+mn-lt"/>
                  <a:ea typeface="+mn-ea"/>
                  <a:cs typeface="+mn-cs"/>
                </a:rPr>
                <a:t>_𝑀</a:t>
              </a:r>
              <a:r>
                <a:rPr kumimoji="1" lang="en-US" altLang="ja-JP" sz="1600" b="0" i="0">
                  <a:solidFill>
                    <a:schemeClr val="tx1"/>
                  </a:solidFill>
                  <a:effectLst/>
                  <a:latin typeface="Cambria Math" panose="02040503050406030204" pitchFamily="18" charset="0"/>
                  <a:ea typeface="+mn-ea"/>
                  <a:cs typeface="+mn-cs"/>
                </a:rPr>
                <a:t> )</a:t>
              </a:r>
              <a:endParaRPr kumimoji="1" lang="ja-JP" altLang="en-US" sz="1600" i="1"/>
            </a:p>
          </xdr:txBody>
        </xdr:sp>
      </mc:Fallback>
    </mc:AlternateContent>
    <xdr:clientData/>
  </xdr:oneCellAnchor>
</xdr:wsDr>
</file>

<file path=xl/drawings/drawing3.xml><?xml version="1.0" encoding="utf-8"?>
<c:userShapes xmlns:c="http://schemas.openxmlformats.org/drawingml/2006/chart">
  <cdr:relSizeAnchor xmlns:cdr="http://schemas.openxmlformats.org/drawingml/2006/chartDrawing">
    <cdr:from>
      <cdr:x>0.08824</cdr:x>
      <cdr:y>0.13061</cdr:y>
    </cdr:from>
    <cdr:to>
      <cdr:x>0.97059</cdr:x>
      <cdr:y>0.77143</cdr:y>
    </cdr:to>
    <cdr:sp macro="" textlink="E!$W$5">
      <cdr:nvSpPr>
        <cdr:cNvPr id="2" name="テキスト ボックス 1">
          <a:extLst xmlns:a="http://schemas.openxmlformats.org/drawingml/2006/main">
            <a:ext uri="{FF2B5EF4-FFF2-40B4-BE49-F238E27FC236}">
              <a16:creationId xmlns:a16="http://schemas.microsoft.com/office/drawing/2014/main" id="{C5908AB7-8F33-F990-D4B7-6B28CC9833B6}"/>
            </a:ext>
          </a:extLst>
        </cdr:cNvPr>
        <cdr:cNvSpPr txBox="1"/>
      </cdr:nvSpPr>
      <cdr:spPr>
        <a:xfrm xmlns:a="http://schemas.openxmlformats.org/drawingml/2006/main">
          <a:off x="771525" y="304800"/>
          <a:ext cx="7715250" cy="1495425"/>
        </a:xfrm>
        <a:prstGeom xmlns:a="http://schemas.openxmlformats.org/drawingml/2006/main" prst="rect">
          <a:avLst/>
        </a:prstGeom>
      </cdr:spPr>
      <cdr:txBody>
        <a:bodyPr xmlns:a="http://schemas.openxmlformats.org/drawingml/2006/main" vertOverflow="clip" wrap="square" rtlCol="0" anchor="ctr" anchorCtr="1"/>
        <a:lstStyle xmlns:a="http://schemas.openxmlformats.org/drawingml/2006/main"/>
        <a:p xmlns:a="http://schemas.openxmlformats.org/drawingml/2006/main">
          <a:fld id="{1F7D61F9-2A8D-48BA-A150-776E728712E2}" type="TxLink">
            <a:rPr lang="en-US" altLang="en-US" sz="2000" b="1" i="0" u="none" strike="noStrike">
              <a:ln w="9525">
                <a:solidFill>
                  <a:schemeClr val="bg1"/>
                </a:solidFill>
              </a:ln>
              <a:solidFill>
                <a:srgbClr val="FF0000"/>
              </a:solidFill>
              <a:effectLst/>
              <a:latin typeface="游ゴシック"/>
              <a:ea typeface="游ゴシック"/>
            </a:rPr>
            <a:pPr/>
            <a:t> </a:t>
          </a:fld>
          <a:endParaRPr lang="ja-JP" altLang="en-US" sz="2000" b="1" u="none">
            <a:ln w="9525">
              <a:solidFill>
                <a:schemeClr val="bg1"/>
              </a:solidFill>
            </a:ln>
            <a:solidFill>
              <a:srgbClr val="FF0000"/>
            </a:solidFill>
            <a:effectLs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0.08969</cdr:x>
      <cdr:y>0.05761</cdr:y>
    </cdr:from>
    <cdr:to>
      <cdr:x>0.97204</cdr:x>
      <cdr:y>0.77778</cdr:y>
    </cdr:to>
    <cdr:sp macro="" textlink="E!$W$5">
      <cdr:nvSpPr>
        <cdr:cNvPr id="2" name="テキスト ボックス 1">
          <a:extLst xmlns:a="http://schemas.openxmlformats.org/drawingml/2006/main">
            <a:ext uri="{FF2B5EF4-FFF2-40B4-BE49-F238E27FC236}">
              <a16:creationId xmlns:a16="http://schemas.microsoft.com/office/drawing/2014/main" id="{C0074777-D6D1-38C8-73DA-C6EEF103576D}"/>
            </a:ext>
          </a:extLst>
        </cdr:cNvPr>
        <cdr:cNvSpPr txBox="1"/>
      </cdr:nvSpPr>
      <cdr:spPr>
        <a:xfrm xmlns:a="http://schemas.openxmlformats.org/drawingml/2006/main">
          <a:off x="784225" y="133350"/>
          <a:ext cx="7715250" cy="1666876"/>
        </a:xfrm>
        <a:prstGeom xmlns:a="http://schemas.openxmlformats.org/drawingml/2006/main" prst="rect">
          <a:avLst/>
        </a:prstGeom>
      </cdr:spPr>
      <cdr:txBody>
        <a:bodyPr xmlns:a="http://schemas.openxmlformats.org/drawingml/2006/main" wrap="square"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A6972C9-6756-44E5-9CD8-0899AFAA6B4F}" type="TxLink">
            <a:rPr lang="en-US" altLang="en-US" sz="2000" b="1" i="0" u="none" strike="noStrike">
              <a:ln w="9525">
                <a:solidFill>
                  <a:schemeClr val="bg1"/>
                </a:solidFill>
              </a:ln>
              <a:solidFill>
                <a:srgbClr val="FF0000"/>
              </a:solidFill>
              <a:effectLst/>
              <a:latin typeface="游ゴシック"/>
              <a:ea typeface="游ゴシック"/>
            </a:rPr>
            <a:pPr/>
            <a:t> </a:t>
          </a:fld>
          <a:endParaRPr lang="ja-JP" altLang="en-US" sz="2000" b="1" u="none">
            <a:ln w="9525">
              <a:solidFill>
                <a:schemeClr val="bg1"/>
              </a:solidFill>
            </a:ln>
            <a:solidFill>
              <a:srgbClr val="FF0000"/>
            </a:solidFill>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51</xdr:col>
      <xdr:colOff>0</xdr:colOff>
      <xdr:row>6</xdr:row>
      <xdr:rowOff>145677</xdr:rowOff>
    </xdr:from>
    <xdr:to>
      <xdr:col>73</xdr:col>
      <xdr:colOff>0</xdr:colOff>
      <xdr:row>12</xdr:row>
      <xdr:rowOff>156882</xdr:rowOff>
    </xdr:to>
    <xdr:graphicFrame macro="">
      <xdr:nvGraphicFramePr>
        <xdr:cNvPr id="5" name="グラフ 4">
          <a:extLst>
            <a:ext uri="{FF2B5EF4-FFF2-40B4-BE49-F238E27FC236}">
              <a16:creationId xmlns:a16="http://schemas.microsoft.com/office/drawing/2014/main" id="{BB3C1E98-FA20-4AE5-9D75-F44B09AAC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74</xdr:col>
      <xdr:colOff>0</xdr:colOff>
      <xdr:row>22</xdr:row>
      <xdr:rowOff>256442</xdr:rowOff>
    </xdr:from>
    <xdr:to>
      <xdr:col>98</xdr:col>
      <xdr:colOff>0</xdr:colOff>
      <xdr:row>39</xdr:row>
      <xdr:rowOff>0</xdr:rowOff>
    </xdr:to>
    <xdr:graphicFrame macro="">
      <xdr:nvGraphicFramePr>
        <xdr:cNvPr id="6" name="グラフ 5">
          <a:extLst>
            <a:ext uri="{FF2B5EF4-FFF2-40B4-BE49-F238E27FC236}">
              <a16:creationId xmlns:a16="http://schemas.microsoft.com/office/drawing/2014/main" id="{ABC0B122-B63C-4A7A-8095-3F56803E7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257734</xdr:colOff>
      <xdr:row>8</xdr:row>
      <xdr:rowOff>1</xdr:rowOff>
    </xdr:from>
    <xdr:to>
      <xdr:col>49</xdr:col>
      <xdr:colOff>257735</xdr:colOff>
      <xdr:row>19</xdr:row>
      <xdr:rowOff>1</xdr:rowOff>
    </xdr:to>
    <xdr:graphicFrame macro="">
      <xdr:nvGraphicFramePr>
        <xdr:cNvPr id="7" name="グラフ 6">
          <a:extLst>
            <a:ext uri="{FF2B5EF4-FFF2-40B4-BE49-F238E27FC236}">
              <a16:creationId xmlns:a16="http://schemas.microsoft.com/office/drawing/2014/main" id="{37FA2B02-6150-4E2F-A5AD-65839DE56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0</xdr:colOff>
      <xdr:row>30</xdr:row>
      <xdr:rowOff>0</xdr:rowOff>
    </xdr:from>
    <xdr:to>
      <xdr:col>50</xdr:col>
      <xdr:colOff>0</xdr:colOff>
      <xdr:row>41</xdr:row>
      <xdr:rowOff>0</xdr:rowOff>
    </xdr:to>
    <xdr:graphicFrame macro="">
      <xdr:nvGraphicFramePr>
        <xdr:cNvPr id="8" name="グラフ 7">
          <a:extLst>
            <a:ext uri="{FF2B5EF4-FFF2-40B4-BE49-F238E27FC236}">
              <a16:creationId xmlns:a16="http://schemas.microsoft.com/office/drawing/2014/main" id="{D8203282-32CD-4388-8B65-0300EA5D6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0</xdr:colOff>
      <xdr:row>19</xdr:row>
      <xdr:rowOff>0</xdr:rowOff>
    </xdr:from>
    <xdr:to>
      <xdr:col>50</xdr:col>
      <xdr:colOff>0</xdr:colOff>
      <xdr:row>30</xdr:row>
      <xdr:rowOff>0</xdr:rowOff>
    </xdr:to>
    <xdr:graphicFrame macro="">
      <xdr:nvGraphicFramePr>
        <xdr:cNvPr id="9" name="グラフ 8">
          <a:extLst>
            <a:ext uri="{FF2B5EF4-FFF2-40B4-BE49-F238E27FC236}">
              <a16:creationId xmlns:a16="http://schemas.microsoft.com/office/drawing/2014/main" id="{B650A865-5F79-49B2-B7A7-80CD4BA4A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0.13736</cdr:x>
      <cdr:y>0.07667</cdr:y>
    </cdr:from>
    <cdr:to>
      <cdr:x>0.38689</cdr:x>
      <cdr:y>0.23917</cdr:y>
    </cdr:to>
    <cdr:sp macro="" textlink="">
      <cdr:nvSpPr>
        <cdr:cNvPr id="58" name="テキスト ボックス 16">
          <a:extLst xmlns:a="http://schemas.openxmlformats.org/drawingml/2006/main">
            <a:ext uri="{FF2B5EF4-FFF2-40B4-BE49-F238E27FC236}">
              <a16:creationId xmlns:a16="http://schemas.microsoft.com/office/drawing/2014/main" id="{EA88815B-A318-FC85-4E57-5580E5427253}"/>
            </a:ext>
          </a:extLst>
        </cdr:cNvPr>
        <cdr:cNvSpPr txBox="1"/>
      </cdr:nvSpPr>
      <cdr:spPr>
        <a:xfrm xmlns:a="http://schemas.openxmlformats.org/drawingml/2006/main">
          <a:off x="849434" y="314569"/>
          <a:ext cx="1543050" cy="666750"/>
        </a:xfrm>
        <a:prstGeom xmlns:a="http://schemas.openxmlformats.org/drawingml/2006/main" prst="rect">
          <a:avLst/>
        </a:prstGeom>
        <a:solidFill xmlns:a="http://schemas.openxmlformats.org/drawingml/2006/main">
          <a:schemeClr val="lt1"/>
        </a:solidFill>
        <a:ln xmlns:a="http://schemas.openxmlformats.org/drawingml/2006/main" w="19050" cmpd="sng">
          <a:solidFill>
            <a:schemeClr val="accent1"/>
          </a:solidFill>
          <a:prstDash val="sys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kumimoji="1" lang="ja-JP" altLang="en-US" sz="1100">
            <a:latin typeface="Cambria Math" panose="02040503050406030204" pitchFamily="18" charset="0"/>
          </a:endParaRPr>
        </a:p>
      </cdr:txBody>
    </cdr:sp>
  </cdr:relSizeAnchor>
  <cdr:relSizeAnchor xmlns:cdr="http://schemas.openxmlformats.org/drawingml/2006/chartDrawing">
    <cdr:from>
      <cdr:x>0.14545</cdr:x>
      <cdr:y>0.08827</cdr:y>
    </cdr:from>
    <cdr:to>
      <cdr:x>0.16817</cdr:x>
      <cdr:y>0.12309</cdr:y>
    </cdr:to>
    <cdr:sp macro="" textlink="'3次式係数計算過程'!$CZ$8">
      <cdr:nvSpPr>
        <cdr:cNvPr id="59" name="テキスト ボックス 1">
          <a:extLst xmlns:a="http://schemas.openxmlformats.org/drawingml/2006/main">
            <a:ext uri="{FF2B5EF4-FFF2-40B4-BE49-F238E27FC236}">
              <a16:creationId xmlns:a16="http://schemas.microsoft.com/office/drawing/2014/main" id="{941FB066-DEB4-1BB3-8DD0-80B3809B555D}"/>
            </a:ext>
          </a:extLst>
        </cdr:cNvPr>
        <cdr:cNvSpPr txBox="1"/>
      </cdr:nvSpPr>
      <cdr:spPr>
        <a:xfrm xmlns:a="http://schemas.openxmlformats.org/drawingml/2006/main">
          <a:off x="899440" y="362194"/>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1A548D88-869E-420B-BA4A-E93253EC79BF}" type="TxLink">
            <a:rPr kumimoji="1" lang="en-US" altLang="en-US" sz="1100" b="0" i="0" u="none" strike="noStrike">
              <a:solidFill>
                <a:srgbClr val="000000"/>
              </a:solidFill>
              <a:latin typeface="游ゴシック"/>
              <a:ea typeface="游ゴシック"/>
            </a:rPr>
            <a:pPr/>
            <a:t>y</a:t>
          </a:fld>
          <a:endParaRPr kumimoji="1" lang="ja-JP" altLang="en-US" sz="1100">
            <a:latin typeface="Cambria Math" panose="02040503050406030204" pitchFamily="18" charset="0"/>
          </a:endParaRPr>
        </a:p>
      </cdr:txBody>
    </cdr:sp>
  </cdr:relSizeAnchor>
  <cdr:relSizeAnchor xmlns:cdr="http://schemas.openxmlformats.org/drawingml/2006/chartDrawing">
    <cdr:from>
      <cdr:x>0.16855</cdr:x>
      <cdr:y>0.08827</cdr:y>
    </cdr:from>
    <cdr:to>
      <cdr:x>0.19127</cdr:x>
      <cdr:y>0.12309</cdr:y>
    </cdr:to>
    <cdr:sp macro="" textlink="'3次式係数計算過程'!$DA$8">
      <cdr:nvSpPr>
        <cdr:cNvPr id="60" name="テキスト ボックス 2">
          <a:extLst xmlns:a="http://schemas.openxmlformats.org/drawingml/2006/main">
            <a:ext uri="{FF2B5EF4-FFF2-40B4-BE49-F238E27FC236}">
              <a16:creationId xmlns:a16="http://schemas.microsoft.com/office/drawing/2014/main" id="{809154CE-B3D4-300D-4C0F-144327C556F0}"/>
            </a:ext>
          </a:extLst>
        </cdr:cNvPr>
        <cdr:cNvSpPr txBox="1"/>
      </cdr:nvSpPr>
      <cdr:spPr>
        <a:xfrm xmlns:a="http://schemas.openxmlformats.org/drawingml/2006/main">
          <a:off x="1042315" y="362194"/>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6425D415-67B4-4596-BB12-321BA8D8CE02}" type="TxLink">
            <a:rPr kumimoji="1" lang="en-US" altLang="en-US" sz="1100" b="0" i="0" u="none" strike="noStrike">
              <a:solidFill>
                <a:srgbClr val="000000"/>
              </a:solidFill>
              <a:latin typeface="游ゴシック"/>
              <a:ea typeface="游ゴシック"/>
            </a:rPr>
            <a:pPr/>
            <a:t>=</a:t>
          </a:fld>
          <a:endParaRPr kumimoji="1" lang="ja-JP" altLang="en-US" sz="900">
            <a:latin typeface="Cambria Math" panose="02040503050406030204" pitchFamily="18" charset="0"/>
          </a:endParaRPr>
        </a:p>
      </cdr:txBody>
    </cdr:sp>
  </cdr:relSizeAnchor>
  <cdr:relSizeAnchor xmlns:cdr="http://schemas.openxmlformats.org/drawingml/2006/chartDrawing">
    <cdr:from>
      <cdr:x>0.19166</cdr:x>
      <cdr:y>0.08827</cdr:y>
    </cdr:from>
    <cdr:to>
      <cdr:x>0.21438</cdr:x>
      <cdr:y>0.12309</cdr:y>
    </cdr:to>
    <cdr:sp macro="" textlink="'3次式係数計算過程'!$DB$8">
      <cdr:nvSpPr>
        <cdr:cNvPr id="61" name="テキスト ボックス 3">
          <a:extLst xmlns:a="http://schemas.openxmlformats.org/drawingml/2006/main">
            <a:ext uri="{FF2B5EF4-FFF2-40B4-BE49-F238E27FC236}">
              <a16:creationId xmlns:a16="http://schemas.microsoft.com/office/drawing/2014/main" id="{98BFF072-66FB-B9D4-258E-4D0910D7816F}"/>
            </a:ext>
          </a:extLst>
        </cdr:cNvPr>
        <cdr:cNvSpPr txBox="1"/>
      </cdr:nvSpPr>
      <cdr:spPr>
        <a:xfrm xmlns:a="http://schemas.openxmlformats.org/drawingml/2006/main">
          <a:off x="1185190" y="362194"/>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CCE6182-3174-4C27-8E2B-E69D58CFF26C}" type="TxLink">
            <a:rPr kumimoji="1" lang="en-US" altLang="en-US" sz="1100" b="0" i="0" u="none" strike="noStrike">
              <a:solidFill>
                <a:srgbClr val="000000"/>
              </a:solidFill>
              <a:latin typeface="游ゴシック"/>
              <a:ea typeface="游ゴシック"/>
            </a:rPr>
            <a:pPr/>
            <a:t> </a:t>
          </a:fld>
          <a:endParaRPr kumimoji="1" lang="ja-JP" altLang="en-US" sz="900">
            <a:latin typeface="Cambria Math" panose="02040503050406030204" pitchFamily="18" charset="0"/>
          </a:endParaRPr>
        </a:p>
      </cdr:txBody>
    </cdr:sp>
  </cdr:relSizeAnchor>
  <cdr:relSizeAnchor xmlns:cdr="http://schemas.openxmlformats.org/drawingml/2006/chartDrawing">
    <cdr:from>
      <cdr:x>0.21476</cdr:x>
      <cdr:y>0.08827</cdr:y>
    </cdr:from>
    <cdr:to>
      <cdr:x>0.353</cdr:x>
      <cdr:y>0.12309</cdr:y>
    </cdr:to>
    <cdr:sp macro="" textlink="'3次式係数計算過程'!$DC$8">
      <cdr:nvSpPr>
        <cdr:cNvPr id="62" name="テキスト ボックス 4">
          <a:extLst xmlns:a="http://schemas.openxmlformats.org/drawingml/2006/main">
            <a:ext uri="{FF2B5EF4-FFF2-40B4-BE49-F238E27FC236}">
              <a16:creationId xmlns:a16="http://schemas.microsoft.com/office/drawing/2014/main" id="{C5902FBE-B2ED-BF87-CB0E-DD999558FAE0}"/>
            </a:ext>
          </a:extLst>
        </cdr:cNvPr>
        <cdr:cNvSpPr txBox="1"/>
      </cdr:nvSpPr>
      <cdr:spPr>
        <a:xfrm xmlns:a="http://schemas.openxmlformats.org/drawingml/2006/main">
          <a:off x="1328065" y="362194"/>
          <a:ext cx="854870"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B009D8E6-6580-4524-B56E-656B9FC223A3}" type="TxLink">
            <a:rPr kumimoji="1" lang="en-US" altLang="en-US" sz="1100" b="0" i="0" u="none" strike="noStrike">
              <a:solidFill>
                <a:srgbClr val="000000"/>
              </a:solidFill>
              <a:latin typeface="游ゴシック"/>
              <a:ea typeface="游ゴシック"/>
            </a:rPr>
            <a:pPr/>
            <a:t>0.037230828</a:t>
          </a:fld>
          <a:endParaRPr kumimoji="1" lang="ja-JP" altLang="en-US" sz="900">
            <a:latin typeface="Cambria Math" panose="02040503050406030204" pitchFamily="18" charset="0"/>
          </a:endParaRPr>
        </a:p>
      </cdr:txBody>
    </cdr:sp>
  </cdr:relSizeAnchor>
  <cdr:relSizeAnchor xmlns:cdr="http://schemas.openxmlformats.org/drawingml/2006/chartDrawing">
    <cdr:from>
      <cdr:x>0.353</cdr:x>
      <cdr:y>0.08827</cdr:y>
    </cdr:from>
    <cdr:to>
      <cdr:x>0.3634</cdr:x>
      <cdr:y>0.12309</cdr:y>
    </cdr:to>
    <cdr:sp macro="" textlink="'3次式係数計算過程'!$DD$8">
      <cdr:nvSpPr>
        <cdr:cNvPr id="63" name="テキスト ボックス 5">
          <a:extLst xmlns:a="http://schemas.openxmlformats.org/drawingml/2006/main">
            <a:ext uri="{FF2B5EF4-FFF2-40B4-BE49-F238E27FC236}">
              <a16:creationId xmlns:a16="http://schemas.microsoft.com/office/drawing/2014/main" id="{520F364D-F73C-FC81-0267-E1D0D22C4C4C}"/>
            </a:ext>
          </a:extLst>
        </cdr:cNvPr>
        <cdr:cNvSpPr txBox="1"/>
      </cdr:nvSpPr>
      <cdr:spPr>
        <a:xfrm xmlns:a="http://schemas.openxmlformats.org/drawingml/2006/main">
          <a:off x="2182934" y="362194"/>
          <a:ext cx="642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14C6C824-D4BB-4FF5-B2A1-20242C2D1040}" type="TxLink">
            <a:rPr kumimoji="1" lang="en-US" altLang="en-US" sz="1100" b="0" i="0" u="none" strike="noStrike">
              <a:solidFill>
                <a:srgbClr val="000000"/>
              </a:solidFill>
              <a:latin typeface="游ゴシック"/>
              <a:ea typeface="游ゴシック"/>
            </a:rPr>
            <a:pPr algn="ctr"/>
            <a:t>x</a:t>
          </a:fld>
          <a:endParaRPr kumimoji="1" lang="ja-JP" altLang="en-US" sz="900">
            <a:latin typeface="Cambria Math" panose="02040503050406030204" pitchFamily="18" charset="0"/>
          </a:endParaRPr>
        </a:p>
      </cdr:txBody>
    </cdr:sp>
  </cdr:relSizeAnchor>
  <cdr:relSizeAnchor xmlns:cdr="http://schemas.openxmlformats.org/drawingml/2006/chartDrawing">
    <cdr:from>
      <cdr:x>0.36417</cdr:x>
      <cdr:y>0.08827</cdr:y>
    </cdr:from>
    <cdr:to>
      <cdr:x>0.37919</cdr:x>
      <cdr:y>0.12309</cdr:y>
    </cdr:to>
    <cdr:sp macro="" textlink="'3次式係数計算過程'!$DE$8">
      <cdr:nvSpPr>
        <cdr:cNvPr id="64" name="テキスト ボックス 6">
          <a:extLst xmlns:a="http://schemas.openxmlformats.org/drawingml/2006/main">
            <a:ext uri="{FF2B5EF4-FFF2-40B4-BE49-F238E27FC236}">
              <a16:creationId xmlns:a16="http://schemas.microsoft.com/office/drawing/2014/main" id="{F0E68B3E-7C27-1227-5EA2-484DB2BE8351}"/>
            </a:ext>
          </a:extLst>
        </cdr:cNvPr>
        <cdr:cNvSpPr txBox="1"/>
      </cdr:nvSpPr>
      <cdr:spPr>
        <a:xfrm xmlns:a="http://schemas.openxmlformats.org/drawingml/2006/main">
          <a:off x="2251990" y="362194"/>
          <a:ext cx="92869"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E46858A6-BAC0-4F06-BC99-AA237E787E9A}" type="TxLink">
            <a:rPr kumimoji="1" lang="en-US" altLang="en-US" sz="500" b="0" i="0" u="none" strike="noStrike">
              <a:solidFill>
                <a:srgbClr val="000000"/>
              </a:solidFill>
              <a:latin typeface="游ゴシック"/>
              <a:ea typeface="游ゴシック"/>
            </a:rPr>
            <a:pPr/>
            <a:t>3</a:t>
          </a:fld>
          <a:endParaRPr kumimoji="1" lang="ja-JP" altLang="en-US" sz="100">
            <a:latin typeface="Cambria Math" panose="02040503050406030204" pitchFamily="18" charset="0"/>
          </a:endParaRPr>
        </a:p>
      </cdr:txBody>
    </cdr:sp>
  </cdr:relSizeAnchor>
  <cdr:relSizeAnchor xmlns:cdr="http://schemas.openxmlformats.org/drawingml/2006/chartDrawing">
    <cdr:from>
      <cdr:x>0.19166</cdr:x>
      <cdr:y>0.1231</cdr:y>
    </cdr:from>
    <cdr:to>
      <cdr:x>0.21438</cdr:x>
      <cdr:y>0.15792</cdr:y>
    </cdr:to>
    <cdr:sp macro="" textlink="'3次式係数計算過程'!$DB$9">
      <cdr:nvSpPr>
        <cdr:cNvPr id="65" name="テキスト ボックス 7">
          <a:extLst xmlns:a="http://schemas.openxmlformats.org/drawingml/2006/main">
            <a:ext uri="{FF2B5EF4-FFF2-40B4-BE49-F238E27FC236}">
              <a16:creationId xmlns:a16="http://schemas.microsoft.com/office/drawing/2014/main" id="{F97E6509-377A-4B36-391D-4A54D6882256}"/>
            </a:ext>
          </a:extLst>
        </cdr:cNvPr>
        <cdr:cNvSpPr txBox="1"/>
      </cdr:nvSpPr>
      <cdr:spPr>
        <a:xfrm xmlns:a="http://schemas.openxmlformats.org/drawingml/2006/main">
          <a:off x="1185190" y="505070"/>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EDAC95AF-1C94-4C78-892B-3B95D8FEF3C7}" type="TxLink">
            <a:rPr kumimoji="1" lang="en-US" altLang="en-US" sz="1100" b="0" i="0" u="none" strike="noStrike">
              <a:solidFill>
                <a:srgbClr val="000000"/>
              </a:solidFill>
              <a:latin typeface="游ゴシック"/>
              <a:ea typeface="游ゴシック"/>
            </a:rPr>
            <a:pPr/>
            <a:t>+</a:t>
          </a:fld>
          <a:endParaRPr kumimoji="1" lang="ja-JP" altLang="en-US" sz="900">
            <a:latin typeface="Cambria Math" panose="02040503050406030204" pitchFamily="18" charset="0"/>
          </a:endParaRPr>
        </a:p>
      </cdr:txBody>
    </cdr:sp>
  </cdr:relSizeAnchor>
  <cdr:relSizeAnchor xmlns:cdr="http://schemas.openxmlformats.org/drawingml/2006/chartDrawing">
    <cdr:from>
      <cdr:x>0.21476</cdr:x>
      <cdr:y>0.1231</cdr:y>
    </cdr:from>
    <cdr:to>
      <cdr:x>0.353</cdr:x>
      <cdr:y>0.15792</cdr:y>
    </cdr:to>
    <cdr:sp macro="" textlink="'3次式係数計算過程'!$DC$9">
      <cdr:nvSpPr>
        <cdr:cNvPr id="66" name="テキスト ボックス 8">
          <a:extLst xmlns:a="http://schemas.openxmlformats.org/drawingml/2006/main">
            <a:ext uri="{FF2B5EF4-FFF2-40B4-BE49-F238E27FC236}">
              <a16:creationId xmlns:a16="http://schemas.microsoft.com/office/drawing/2014/main" id="{59646264-67CC-DDE8-2A04-1CA44F745265}"/>
            </a:ext>
          </a:extLst>
        </cdr:cNvPr>
        <cdr:cNvSpPr txBox="1"/>
      </cdr:nvSpPr>
      <cdr:spPr>
        <a:xfrm xmlns:a="http://schemas.openxmlformats.org/drawingml/2006/main">
          <a:off x="1328064" y="505069"/>
          <a:ext cx="854870"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A6849E89-6FEF-4937-B5D2-8E3B33F5FBCD}" type="TxLink">
            <a:rPr kumimoji="1" lang="en-US" altLang="en-US" sz="1100" b="0" i="0" u="none" strike="noStrike">
              <a:solidFill>
                <a:srgbClr val="000000"/>
              </a:solidFill>
              <a:latin typeface="游ゴシック"/>
              <a:ea typeface="游ゴシック"/>
            </a:rPr>
            <a:pPr/>
            <a:t>0.382025199</a:t>
          </a:fld>
          <a:endParaRPr kumimoji="1" lang="ja-JP" altLang="en-US" sz="900">
            <a:latin typeface="Cambria Math" panose="02040503050406030204" pitchFamily="18" charset="0"/>
          </a:endParaRPr>
        </a:p>
      </cdr:txBody>
    </cdr:sp>
  </cdr:relSizeAnchor>
  <cdr:relSizeAnchor xmlns:cdr="http://schemas.openxmlformats.org/drawingml/2006/chartDrawing">
    <cdr:from>
      <cdr:x>0.353</cdr:x>
      <cdr:y>0.1231</cdr:y>
    </cdr:from>
    <cdr:to>
      <cdr:x>0.3634</cdr:x>
      <cdr:y>0.15792</cdr:y>
    </cdr:to>
    <cdr:sp macro="" textlink="'3次式係数計算過程'!$DD$9">
      <cdr:nvSpPr>
        <cdr:cNvPr id="67" name="テキスト ボックス 9">
          <a:extLst xmlns:a="http://schemas.openxmlformats.org/drawingml/2006/main">
            <a:ext uri="{FF2B5EF4-FFF2-40B4-BE49-F238E27FC236}">
              <a16:creationId xmlns:a16="http://schemas.microsoft.com/office/drawing/2014/main" id="{C2B2BF59-4DE0-DEEB-8501-29546CD0A4AF}"/>
            </a:ext>
          </a:extLst>
        </cdr:cNvPr>
        <cdr:cNvSpPr txBox="1"/>
      </cdr:nvSpPr>
      <cdr:spPr>
        <a:xfrm xmlns:a="http://schemas.openxmlformats.org/drawingml/2006/main">
          <a:off x="2182934" y="505069"/>
          <a:ext cx="642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2D9A303B-3DB8-47F4-8A19-83C6BCEF4B76}" type="TxLink">
            <a:rPr kumimoji="1" lang="en-US" altLang="en-US" sz="1100" b="0" i="0" u="none" strike="noStrike">
              <a:solidFill>
                <a:srgbClr val="000000"/>
              </a:solidFill>
              <a:latin typeface="游ゴシック"/>
              <a:ea typeface="游ゴシック"/>
            </a:rPr>
            <a:pPr algn="ctr"/>
            <a:t>x</a:t>
          </a:fld>
          <a:endParaRPr kumimoji="1" lang="ja-JP" altLang="en-US" sz="900">
            <a:latin typeface="Cambria Math" panose="02040503050406030204" pitchFamily="18" charset="0"/>
          </a:endParaRPr>
        </a:p>
      </cdr:txBody>
    </cdr:sp>
  </cdr:relSizeAnchor>
  <cdr:relSizeAnchor xmlns:cdr="http://schemas.openxmlformats.org/drawingml/2006/chartDrawing">
    <cdr:from>
      <cdr:x>0.36378</cdr:x>
      <cdr:y>0.1231</cdr:y>
    </cdr:from>
    <cdr:to>
      <cdr:x>0.3788</cdr:x>
      <cdr:y>0.15792</cdr:y>
    </cdr:to>
    <cdr:sp macro="" textlink="'3次式係数計算過程'!$DE$9">
      <cdr:nvSpPr>
        <cdr:cNvPr id="68" name="テキスト ボックス 10">
          <a:extLst xmlns:a="http://schemas.openxmlformats.org/drawingml/2006/main">
            <a:ext uri="{FF2B5EF4-FFF2-40B4-BE49-F238E27FC236}">
              <a16:creationId xmlns:a16="http://schemas.microsoft.com/office/drawing/2014/main" id="{D6AACF64-2675-7670-25FE-CBE6FD9B90B7}"/>
            </a:ext>
          </a:extLst>
        </cdr:cNvPr>
        <cdr:cNvSpPr txBox="1"/>
      </cdr:nvSpPr>
      <cdr:spPr>
        <a:xfrm xmlns:a="http://schemas.openxmlformats.org/drawingml/2006/main">
          <a:off x="2249609" y="505070"/>
          <a:ext cx="92869"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5B5CB32-6A7E-448D-AEAF-BAA5FBFF8CAE}" type="TxLink">
            <a:rPr kumimoji="1" lang="en-US" altLang="en-US" sz="500" b="0" i="0" u="none" strike="noStrike">
              <a:solidFill>
                <a:srgbClr val="000000"/>
              </a:solidFill>
              <a:latin typeface="游ゴシック"/>
              <a:ea typeface="游ゴシック"/>
            </a:rPr>
            <a:pPr/>
            <a:t>2</a:t>
          </a:fld>
          <a:endParaRPr kumimoji="1" lang="ja-JP" altLang="en-US" sz="100">
            <a:latin typeface="Cambria Math" panose="02040503050406030204" pitchFamily="18" charset="0"/>
          </a:endParaRPr>
        </a:p>
      </cdr:txBody>
    </cdr:sp>
  </cdr:relSizeAnchor>
  <cdr:relSizeAnchor xmlns:cdr="http://schemas.openxmlformats.org/drawingml/2006/chartDrawing">
    <cdr:from>
      <cdr:x>0.19166</cdr:x>
      <cdr:y>0.15792</cdr:y>
    </cdr:from>
    <cdr:to>
      <cdr:x>0.21438</cdr:x>
      <cdr:y>0.19274</cdr:y>
    </cdr:to>
    <cdr:sp macro="" textlink="'3次式係数計算過程'!$DB$10">
      <cdr:nvSpPr>
        <cdr:cNvPr id="69" name="テキスト ボックス 11">
          <a:extLst xmlns:a="http://schemas.openxmlformats.org/drawingml/2006/main">
            <a:ext uri="{FF2B5EF4-FFF2-40B4-BE49-F238E27FC236}">
              <a16:creationId xmlns:a16="http://schemas.microsoft.com/office/drawing/2014/main" id="{36D072E9-5E9B-3A2B-454D-A732B8318183}"/>
            </a:ext>
          </a:extLst>
        </cdr:cNvPr>
        <cdr:cNvSpPr txBox="1"/>
      </cdr:nvSpPr>
      <cdr:spPr>
        <a:xfrm xmlns:a="http://schemas.openxmlformats.org/drawingml/2006/main">
          <a:off x="1185190" y="647945"/>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AAA565DE-B5EC-4254-8D54-481BF19F0B1E}" type="TxLink">
            <a:rPr kumimoji="1" lang="en-US" altLang="en-US" sz="1100" b="0" i="0" u="none" strike="noStrike">
              <a:solidFill>
                <a:srgbClr val="000000"/>
              </a:solidFill>
              <a:latin typeface="游ゴシック"/>
              <a:ea typeface="游ゴシック"/>
            </a:rPr>
            <a:pPr/>
            <a:t>+</a:t>
          </a:fld>
          <a:endParaRPr kumimoji="1" lang="ja-JP" altLang="en-US" sz="900">
            <a:latin typeface="Cambria Math" panose="02040503050406030204" pitchFamily="18" charset="0"/>
          </a:endParaRPr>
        </a:p>
      </cdr:txBody>
    </cdr:sp>
  </cdr:relSizeAnchor>
  <cdr:relSizeAnchor xmlns:cdr="http://schemas.openxmlformats.org/drawingml/2006/chartDrawing">
    <cdr:from>
      <cdr:x>0.21476</cdr:x>
      <cdr:y>0.15792</cdr:y>
    </cdr:from>
    <cdr:to>
      <cdr:x>0.353</cdr:x>
      <cdr:y>0.19274</cdr:y>
    </cdr:to>
    <cdr:sp macro="" textlink="'3次式係数計算過程'!$DC$10">
      <cdr:nvSpPr>
        <cdr:cNvPr id="70" name="テキスト ボックス 12">
          <a:extLst xmlns:a="http://schemas.openxmlformats.org/drawingml/2006/main">
            <a:ext uri="{FF2B5EF4-FFF2-40B4-BE49-F238E27FC236}">
              <a16:creationId xmlns:a16="http://schemas.microsoft.com/office/drawing/2014/main" id="{39C8DA73-2869-137F-B014-EEDBBF70CB87}"/>
            </a:ext>
          </a:extLst>
        </cdr:cNvPr>
        <cdr:cNvSpPr txBox="1"/>
      </cdr:nvSpPr>
      <cdr:spPr>
        <a:xfrm xmlns:a="http://schemas.openxmlformats.org/drawingml/2006/main">
          <a:off x="1328064" y="647944"/>
          <a:ext cx="854870"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A3A0142A-058A-435B-A574-074BA44020B8}" type="TxLink">
            <a:rPr kumimoji="1" lang="en-US" altLang="en-US" sz="1100" b="0" i="0" u="none" strike="noStrike">
              <a:solidFill>
                <a:srgbClr val="000000"/>
              </a:solidFill>
              <a:latin typeface="游ゴシック"/>
              <a:ea typeface="游ゴシック"/>
            </a:rPr>
            <a:pPr/>
            <a:t>0.170000000</a:t>
          </a:fld>
          <a:endParaRPr kumimoji="1" lang="ja-JP" altLang="en-US" sz="900">
            <a:latin typeface="Cambria Math" panose="02040503050406030204" pitchFamily="18" charset="0"/>
          </a:endParaRPr>
        </a:p>
      </cdr:txBody>
    </cdr:sp>
  </cdr:relSizeAnchor>
  <cdr:relSizeAnchor xmlns:cdr="http://schemas.openxmlformats.org/drawingml/2006/chartDrawing">
    <cdr:from>
      <cdr:x>0.35339</cdr:x>
      <cdr:y>0.15792</cdr:y>
    </cdr:from>
    <cdr:to>
      <cdr:x>0.36378</cdr:x>
      <cdr:y>0.19274</cdr:y>
    </cdr:to>
    <cdr:sp macro="" textlink="'3次式係数計算過程'!$DD$10">
      <cdr:nvSpPr>
        <cdr:cNvPr id="71" name="テキスト ボックス 13">
          <a:extLst xmlns:a="http://schemas.openxmlformats.org/drawingml/2006/main">
            <a:ext uri="{FF2B5EF4-FFF2-40B4-BE49-F238E27FC236}">
              <a16:creationId xmlns:a16="http://schemas.microsoft.com/office/drawing/2014/main" id="{5DB7F21B-AB3A-8362-D344-B3688C24AFFD}"/>
            </a:ext>
          </a:extLst>
        </cdr:cNvPr>
        <cdr:cNvSpPr txBox="1"/>
      </cdr:nvSpPr>
      <cdr:spPr>
        <a:xfrm xmlns:a="http://schemas.openxmlformats.org/drawingml/2006/main">
          <a:off x="2185315" y="647945"/>
          <a:ext cx="642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3B50DDF3-7D6A-48EF-98D8-20EA2F15F2D2}" type="TxLink">
            <a:rPr kumimoji="1" lang="en-US" altLang="en-US" sz="1100" b="0" i="0" u="none" strike="noStrike">
              <a:solidFill>
                <a:srgbClr val="000000"/>
              </a:solidFill>
              <a:latin typeface="游ゴシック"/>
              <a:ea typeface="游ゴシック"/>
            </a:rPr>
            <a:pPr algn="ctr"/>
            <a:t>x</a:t>
          </a:fld>
          <a:endParaRPr kumimoji="1" lang="ja-JP" altLang="en-US" sz="900">
            <a:latin typeface="Cambria Math" panose="02040503050406030204" pitchFamily="18" charset="0"/>
          </a:endParaRPr>
        </a:p>
      </cdr:txBody>
    </cdr:sp>
  </cdr:relSizeAnchor>
  <cdr:relSizeAnchor xmlns:cdr="http://schemas.openxmlformats.org/drawingml/2006/chartDrawing">
    <cdr:from>
      <cdr:x>0.19166</cdr:x>
      <cdr:y>0.19274</cdr:y>
    </cdr:from>
    <cdr:to>
      <cdr:x>0.21438</cdr:x>
      <cdr:y>0.22756</cdr:y>
    </cdr:to>
    <cdr:sp macro="" textlink="'3次式係数計算過程'!$DB$11">
      <cdr:nvSpPr>
        <cdr:cNvPr id="72" name="テキスト ボックス 14">
          <a:extLst xmlns:a="http://schemas.openxmlformats.org/drawingml/2006/main">
            <a:ext uri="{FF2B5EF4-FFF2-40B4-BE49-F238E27FC236}">
              <a16:creationId xmlns:a16="http://schemas.microsoft.com/office/drawing/2014/main" id="{975AD3AB-2C69-1C1E-3712-7A3BDF3F1CCA}"/>
            </a:ext>
          </a:extLst>
        </cdr:cNvPr>
        <cdr:cNvSpPr txBox="1"/>
      </cdr:nvSpPr>
      <cdr:spPr>
        <a:xfrm xmlns:a="http://schemas.openxmlformats.org/drawingml/2006/main">
          <a:off x="1185190" y="790819"/>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EF8D9B9E-F0A8-4800-BDB0-79DA8014FD5F}" type="TxLink">
            <a:rPr kumimoji="1" lang="en-US" altLang="en-US" sz="1100" b="0" i="0" u="none" strike="noStrike">
              <a:solidFill>
                <a:srgbClr val="000000"/>
              </a:solidFill>
              <a:latin typeface="游ゴシック"/>
              <a:ea typeface="游ゴシック"/>
            </a:rPr>
            <a:pPr/>
            <a:t>-</a:t>
          </a:fld>
          <a:endParaRPr kumimoji="1" lang="ja-JP" altLang="en-US" sz="900">
            <a:latin typeface="Cambria Math" panose="02040503050406030204" pitchFamily="18" charset="0"/>
          </a:endParaRPr>
        </a:p>
      </cdr:txBody>
    </cdr:sp>
  </cdr:relSizeAnchor>
  <cdr:relSizeAnchor xmlns:cdr="http://schemas.openxmlformats.org/drawingml/2006/chartDrawing">
    <cdr:from>
      <cdr:x>0.21438</cdr:x>
      <cdr:y>0.19274</cdr:y>
    </cdr:from>
    <cdr:to>
      <cdr:x>0.35262</cdr:x>
      <cdr:y>0.22756</cdr:y>
    </cdr:to>
    <cdr:sp macro="" textlink="'3次式係数計算過程'!$DC$11">
      <cdr:nvSpPr>
        <cdr:cNvPr id="73" name="テキスト ボックス 15">
          <a:extLst xmlns:a="http://schemas.openxmlformats.org/drawingml/2006/main">
            <a:ext uri="{FF2B5EF4-FFF2-40B4-BE49-F238E27FC236}">
              <a16:creationId xmlns:a16="http://schemas.microsoft.com/office/drawing/2014/main" id="{B2771921-6C37-16B3-46FC-5DCEBEB5FDCE}"/>
            </a:ext>
          </a:extLst>
        </cdr:cNvPr>
        <cdr:cNvSpPr txBox="1"/>
      </cdr:nvSpPr>
      <cdr:spPr>
        <a:xfrm xmlns:a="http://schemas.openxmlformats.org/drawingml/2006/main">
          <a:off x="1325684" y="790820"/>
          <a:ext cx="854870"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5FCF061-5855-4AA5-A6B4-99259ADC5317}" type="TxLink">
            <a:rPr kumimoji="1" lang="en-US" altLang="en-US" sz="1100" b="0" i="0" u="none" strike="noStrike">
              <a:solidFill>
                <a:srgbClr val="000000"/>
              </a:solidFill>
              <a:latin typeface="游ゴシック"/>
              <a:ea typeface="游ゴシック"/>
            </a:rPr>
            <a:pPr/>
            <a:t>0.001902867</a:t>
          </a:fld>
          <a:endParaRPr kumimoji="1" lang="ja-JP" altLang="en-US" sz="900">
            <a:latin typeface="Cambria Math" panose="02040503050406030204" pitchFamily="18" charset="0"/>
          </a:endParaRPr>
        </a:p>
      </cdr:txBody>
    </cdr:sp>
  </cdr:relSizeAnchor>
  <cdr:relSizeAnchor xmlns:cdr="http://schemas.openxmlformats.org/drawingml/2006/chartDrawing">
    <cdr:from>
      <cdr:x>0.40276</cdr:x>
      <cdr:y>0.07667</cdr:y>
    </cdr:from>
    <cdr:to>
      <cdr:x>0.65229</cdr:x>
      <cdr:y>0.23917</cdr:y>
    </cdr:to>
    <cdr:grpSp>
      <cdr:nvGrpSpPr>
        <cdr:cNvPr id="74" name="グループ化 73">
          <a:extLst xmlns:a="http://schemas.openxmlformats.org/drawingml/2006/main">
            <a:ext uri="{FF2B5EF4-FFF2-40B4-BE49-F238E27FC236}">
              <a16:creationId xmlns:a16="http://schemas.microsoft.com/office/drawing/2014/main" id="{06046638-769B-4655-9373-CE021088A6AF}"/>
            </a:ext>
          </a:extLst>
        </cdr:cNvPr>
        <cdr:cNvGrpSpPr/>
      </cdr:nvGrpSpPr>
      <cdr:grpSpPr>
        <a:xfrm xmlns:a="http://schemas.openxmlformats.org/drawingml/2006/main">
          <a:off x="2504871" y="316268"/>
          <a:ext cx="1551893" cy="670322"/>
          <a:chOff x="0" y="0"/>
          <a:chExt cx="1543050" cy="666750"/>
        </a:xfrm>
      </cdr:grpSpPr>
      <cdr:sp macro="" textlink="">
        <cdr:nvSpPr>
          <cdr:cNvPr id="75" name="テキスト ボックス 37">
            <a:extLst xmlns:a="http://schemas.openxmlformats.org/drawingml/2006/main">
              <a:ext uri="{FF2B5EF4-FFF2-40B4-BE49-F238E27FC236}">
                <a16:creationId xmlns:a16="http://schemas.microsoft.com/office/drawing/2014/main" id="{3FF7BD62-C307-E095-54C6-1E3E1C02A77A}"/>
              </a:ext>
            </a:extLst>
          </cdr:cNvPr>
          <cdr:cNvSpPr txBox="1"/>
        </cdr:nvSpPr>
        <cdr:spPr>
          <a:xfrm xmlns:a="http://schemas.openxmlformats.org/drawingml/2006/main">
            <a:off x="0" y="0"/>
            <a:ext cx="1543050" cy="666750"/>
          </a:xfrm>
          <a:prstGeom xmlns:a="http://schemas.openxmlformats.org/drawingml/2006/main" prst="rect">
            <a:avLst/>
          </a:prstGeom>
          <a:solidFill xmlns:a="http://schemas.openxmlformats.org/drawingml/2006/main">
            <a:schemeClr val="lt1"/>
          </a:solidFill>
          <a:ln xmlns:a="http://schemas.openxmlformats.org/drawingml/2006/main" w="19050" cmpd="sng">
            <a:solidFill>
              <a:schemeClr val="accent2"/>
            </a:solidFill>
            <a:prstDash val="soli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kumimoji="1" lang="ja-JP" altLang="en-US" sz="1100">
              <a:latin typeface="Cambria Math" panose="02040503050406030204" pitchFamily="18" charset="0"/>
            </a:endParaRPr>
          </a:p>
        </cdr:txBody>
      </cdr:sp>
      <cdr:sp macro="" textlink="'3次式係数計算過程'!$CZ$25">
        <cdr:nvSpPr>
          <cdr:cNvPr id="76" name="テキスト ボックス 38">
            <a:extLst xmlns:a="http://schemas.openxmlformats.org/drawingml/2006/main">
              <a:ext uri="{FF2B5EF4-FFF2-40B4-BE49-F238E27FC236}">
                <a16:creationId xmlns:a16="http://schemas.microsoft.com/office/drawing/2014/main" id="{55C339AC-E760-9694-09DB-BCDCFE270713}"/>
              </a:ext>
            </a:extLst>
          </cdr:cNvPr>
          <cdr:cNvSpPr txBox="1"/>
        </cdr:nvSpPr>
        <cdr:spPr>
          <a:xfrm xmlns:a="http://schemas.openxmlformats.org/drawingml/2006/main">
            <a:off x="50006" y="47625"/>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5FFF8998-814A-4C6B-9839-5F6E3D9198E4}" type="TxLink">
              <a:rPr kumimoji="1" lang="en-US" altLang="en-US" sz="1100" b="0" i="0" u="none" strike="noStrike">
                <a:solidFill>
                  <a:srgbClr val="000000"/>
                </a:solidFill>
                <a:latin typeface="游ゴシック"/>
                <a:ea typeface="游ゴシック"/>
              </a:rPr>
              <a:pPr/>
              <a:t>y</a:t>
            </a:fld>
            <a:endParaRPr kumimoji="1" lang="ja-JP" altLang="en-US" sz="1100">
              <a:latin typeface="Cambria Math" panose="02040503050406030204" pitchFamily="18" charset="0"/>
            </a:endParaRPr>
          </a:p>
        </cdr:txBody>
      </cdr:sp>
      <cdr:sp macro="" textlink="'3次式係数計算過程'!$DA$25">
        <cdr:nvSpPr>
          <cdr:cNvPr id="77" name="テキスト ボックス 39">
            <a:extLst xmlns:a="http://schemas.openxmlformats.org/drawingml/2006/main">
              <a:ext uri="{FF2B5EF4-FFF2-40B4-BE49-F238E27FC236}">
                <a16:creationId xmlns:a16="http://schemas.microsoft.com/office/drawing/2014/main" id="{B34B1040-E6F8-F73A-678F-0FD0D99CC68D}"/>
              </a:ext>
            </a:extLst>
          </cdr:cNvPr>
          <cdr:cNvSpPr txBox="1"/>
        </cdr:nvSpPr>
        <cdr:spPr>
          <a:xfrm xmlns:a="http://schemas.openxmlformats.org/drawingml/2006/main">
            <a:off x="192881" y="47625"/>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6C9F9168-39F2-4EBF-B2C8-0B3985D7EF18}" type="TxLink">
              <a:rPr kumimoji="1" lang="en-US" altLang="en-US" sz="1100" b="0" i="0" u="none" strike="noStrike">
                <a:solidFill>
                  <a:srgbClr val="000000"/>
                </a:solidFill>
                <a:latin typeface="游ゴシック"/>
                <a:ea typeface="游ゴシック"/>
              </a:rPr>
              <a:pPr/>
              <a:t>=</a:t>
            </a:fld>
            <a:endParaRPr kumimoji="1" lang="ja-JP" altLang="en-US" sz="1100">
              <a:latin typeface="Cambria Math" panose="02040503050406030204" pitchFamily="18" charset="0"/>
            </a:endParaRPr>
          </a:p>
        </cdr:txBody>
      </cdr:sp>
      <cdr:sp macro="" textlink="'3次式係数計算過程'!$DB$25">
        <cdr:nvSpPr>
          <cdr:cNvPr id="78" name="テキスト ボックス 40">
            <a:extLst xmlns:a="http://schemas.openxmlformats.org/drawingml/2006/main">
              <a:ext uri="{FF2B5EF4-FFF2-40B4-BE49-F238E27FC236}">
                <a16:creationId xmlns:a16="http://schemas.microsoft.com/office/drawing/2014/main" id="{BD2C7B61-E22F-0469-43BE-D4117D684109}"/>
              </a:ext>
            </a:extLst>
          </cdr:cNvPr>
          <cdr:cNvSpPr txBox="1"/>
        </cdr:nvSpPr>
        <cdr:spPr>
          <a:xfrm xmlns:a="http://schemas.openxmlformats.org/drawingml/2006/main">
            <a:off x="335756" y="47625"/>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3DB508AB-CF4C-47DA-9260-244EC6BD30A4}" type="TxLink">
              <a:rPr kumimoji="1" lang="en-US" altLang="en-US" sz="1100" b="0" i="0" u="none" strike="noStrike">
                <a:solidFill>
                  <a:srgbClr val="000000"/>
                </a:solidFill>
                <a:latin typeface="游ゴシック"/>
                <a:ea typeface="游ゴシック"/>
              </a:rPr>
              <a:pPr/>
              <a:t>-</a:t>
            </a:fld>
            <a:endParaRPr kumimoji="1" lang="ja-JP" altLang="en-US" sz="1100">
              <a:latin typeface="Cambria Math" panose="02040503050406030204" pitchFamily="18" charset="0"/>
            </a:endParaRPr>
          </a:p>
        </cdr:txBody>
      </cdr:sp>
      <cdr:sp macro="" textlink="'3次式係数計算過程'!$DC$25">
        <cdr:nvSpPr>
          <cdr:cNvPr id="79" name="テキスト ボックス 41">
            <a:extLst xmlns:a="http://schemas.openxmlformats.org/drawingml/2006/main">
              <a:ext uri="{FF2B5EF4-FFF2-40B4-BE49-F238E27FC236}">
                <a16:creationId xmlns:a16="http://schemas.microsoft.com/office/drawing/2014/main" id="{E7C7AB88-9AA1-38FA-B7F6-38685DDADCC9}"/>
              </a:ext>
            </a:extLst>
          </cdr:cNvPr>
          <cdr:cNvSpPr txBox="1"/>
        </cdr:nvSpPr>
        <cdr:spPr>
          <a:xfrm xmlns:a="http://schemas.openxmlformats.org/drawingml/2006/main">
            <a:off x="478631" y="47625"/>
            <a:ext cx="854870"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D6126A89-1A09-435A-AE41-E1B29D4CE988}" type="TxLink">
              <a:rPr kumimoji="1" lang="en-US" altLang="en-US" sz="1100" b="0" i="0" u="none" strike="noStrike">
                <a:solidFill>
                  <a:srgbClr val="000000"/>
                </a:solidFill>
                <a:latin typeface="游ゴシック"/>
                <a:ea typeface="游ゴシック"/>
              </a:rPr>
              <a:pPr/>
              <a:t>0.026051561</a:t>
            </a:fld>
            <a:endParaRPr kumimoji="1" lang="ja-JP" altLang="en-US" sz="1100">
              <a:latin typeface="Cambria Math" panose="02040503050406030204" pitchFamily="18" charset="0"/>
            </a:endParaRPr>
          </a:p>
        </cdr:txBody>
      </cdr:sp>
      <cdr:sp macro="" textlink="'3次式係数計算過程'!$DD$25">
        <cdr:nvSpPr>
          <cdr:cNvPr id="80" name="テキスト ボックス 42">
            <a:extLst xmlns:a="http://schemas.openxmlformats.org/drawingml/2006/main">
              <a:ext uri="{FF2B5EF4-FFF2-40B4-BE49-F238E27FC236}">
                <a16:creationId xmlns:a16="http://schemas.microsoft.com/office/drawing/2014/main" id="{986FD4B3-1DCE-C272-815B-9B402BED2106}"/>
              </a:ext>
            </a:extLst>
          </cdr:cNvPr>
          <cdr:cNvSpPr txBox="1"/>
        </cdr:nvSpPr>
        <cdr:spPr>
          <a:xfrm xmlns:a="http://schemas.openxmlformats.org/drawingml/2006/main">
            <a:off x="1333500" y="47625"/>
            <a:ext cx="642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7F128AC4-0E68-47F3-8808-ADFFAA3E9F66}" type="TxLink">
              <a:rPr kumimoji="1" lang="en-US" altLang="en-US" sz="1100" b="0" i="0" u="none" strike="noStrike">
                <a:solidFill>
                  <a:srgbClr val="000000"/>
                </a:solidFill>
                <a:latin typeface="游ゴシック"/>
                <a:ea typeface="游ゴシック"/>
              </a:rPr>
              <a:pPr algn="ctr"/>
              <a:t>x</a:t>
            </a:fld>
            <a:endParaRPr kumimoji="1" lang="ja-JP" altLang="en-US" sz="1100">
              <a:latin typeface="Cambria Math" panose="02040503050406030204" pitchFamily="18" charset="0"/>
            </a:endParaRPr>
          </a:p>
        </cdr:txBody>
      </cdr:sp>
      <cdr:sp macro="" textlink="'3次式係数計算過程'!$DE$25">
        <cdr:nvSpPr>
          <cdr:cNvPr id="81" name="テキスト ボックス 43">
            <a:extLst xmlns:a="http://schemas.openxmlformats.org/drawingml/2006/main">
              <a:ext uri="{FF2B5EF4-FFF2-40B4-BE49-F238E27FC236}">
                <a16:creationId xmlns:a16="http://schemas.microsoft.com/office/drawing/2014/main" id="{06296C23-2D8B-B962-8061-8522A89687FF}"/>
              </a:ext>
            </a:extLst>
          </cdr:cNvPr>
          <cdr:cNvSpPr txBox="1"/>
        </cdr:nvSpPr>
        <cdr:spPr>
          <a:xfrm xmlns:a="http://schemas.openxmlformats.org/drawingml/2006/main">
            <a:off x="1402556" y="47625"/>
            <a:ext cx="92869"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DCE203BD-B306-4E4E-95A5-D821760F78B7}" type="TxLink">
              <a:rPr kumimoji="1" lang="en-US" altLang="en-US" sz="500" b="0" i="0" u="none" strike="noStrike">
                <a:solidFill>
                  <a:srgbClr val="000000"/>
                </a:solidFill>
                <a:latin typeface="游ゴシック"/>
                <a:ea typeface="游ゴシック"/>
              </a:rPr>
              <a:pPr/>
              <a:t>3</a:t>
            </a:fld>
            <a:endParaRPr kumimoji="1" lang="ja-JP" altLang="en-US" sz="100">
              <a:latin typeface="Cambria Math" panose="02040503050406030204" pitchFamily="18" charset="0"/>
            </a:endParaRPr>
          </a:p>
        </cdr:txBody>
      </cdr:sp>
      <cdr:sp macro="" textlink="'3次式係数計算過程'!$DB$26">
        <cdr:nvSpPr>
          <cdr:cNvPr id="82" name="テキスト ボックス 44">
            <a:extLst xmlns:a="http://schemas.openxmlformats.org/drawingml/2006/main">
              <a:ext uri="{FF2B5EF4-FFF2-40B4-BE49-F238E27FC236}">
                <a16:creationId xmlns:a16="http://schemas.microsoft.com/office/drawing/2014/main" id="{C68DB544-49FF-8F61-7207-434B131D907D}"/>
              </a:ext>
            </a:extLst>
          </cdr:cNvPr>
          <cdr:cNvSpPr txBox="1"/>
        </cdr:nvSpPr>
        <cdr:spPr>
          <a:xfrm xmlns:a="http://schemas.openxmlformats.org/drawingml/2006/main">
            <a:off x="335756" y="190501"/>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66C889CC-9BF1-4D02-A1F1-D6A46D0169DC}" type="TxLink">
              <a:rPr kumimoji="1" lang="en-US" altLang="en-US" sz="1100" b="0" i="0" u="none" strike="noStrike">
                <a:solidFill>
                  <a:srgbClr val="000000"/>
                </a:solidFill>
                <a:latin typeface="游ゴシック"/>
                <a:ea typeface="游ゴシック"/>
              </a:rPr>
              <a:pPr/>
              <a:t>+</a:t>
            </a:fld>
            <a:endParaRPr kumimoji="1" lang="ja-JP" altLang="en-US" sz="1100">
              <a:latin typeface="Cambria Math" panose="02040503050406030204" pitchFamily="18" charset="0"/>
            </a:endParaRPr>
          </a:p>
        </cdr:txBody>
      </cdr:sp>
      <cdr:sp macro="" textlink="'3次式係数計算過程'!$DC$26">
        <cdr:nvSpPr>
          <cdr:cNvPr id="83" name="テキスト ボックス 45">
            <a:extLst xmlns:a="http://schemas.openxmlformats.org/drawingml/2006/main">
              <a:ext uri="{FF2B5EF4-FFF2-40B4-BE49-F238E27FC236}">
                <a16:creationId xmlns:a16="http://schemas.microsoft.com/office/drawing/2014/main" id="{AF1E89F7-598A-C94C-D31A-2915B94C3C8F}"/>
              </a:ext>
            </a:extLst>
          </cdr:cNvPr>
          <cdr:cNvSpPr txBox="1"/>
        </cdr:nvSpPr>
        <cdr:spPr>
          <a:xfrm xmlns:a="http://schemas.openxmlformats.org/drawingml/2006/main">
            <a:off x="478630" y="190500"/>
            <a:ext cx="854870"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3324FB81-7B8B-4819-BBB0-C15B0A646542}" type="TxLink">
              <a:rPr kumimoji="1" lang="en-US" altLang="en-US" sz="1100" b="0" i="0" u="none" strike="noStrike">
                <a:solidFill>
                  <a:srgbClr val="000000"/>
                </a:solidFill>
                <a:latin typeface="游ゴシック"/>
                <a:ea typeface="游ゴシック"/>
              </a:rPr>
              <a:pPr/>
              <a:t>0.457239223</a:t>
            </a:fld>
            <a:endParaRPr kumimoji="1" lang="ja-JP" altLang="en-US" sz="1100">
              <a:latin typeface="Cambria Math" panose="02040503050406030204" pitchFamily="18" charset="0"/>
            </a:endParaRPr>
          </a:p>
        </cdr:txBody>
      </cdr:sp>
      <cdr:sp macro="" textlink="'3次式係数計算過程'!$DD$26">
        <cdr:nvSpPr>
          <cdr:cNvPr id="84" name="テキスト ボックス 46">
            <a:extLst xmlns:a="http://schemas.openxmlformats.org/drawingml/2006/main">
              <a:ext uri="{FF2B5EF4-FFF2-40B4-BE49-F238E27FC236}">
                <a16:creationId xmlns:a16="http://schemas.microsoft.com/office/drawing/2014/main" id="{2A2C7DC8-E917-2B8A-0B64-026FA96FF34D}"/>
              </a:ext>
            </a:extLst>
          </cdr:cNvPr>
          <cdr:cNvSpPr txBox="1"/>
        </cdr:nvSpPr>
        <cdr:spPr>
          <a:xfrm xmlns:a="http://schemas.openxmlformats.org/drawingml/2006/main">
            <a:off x="1333500" y="190500"/>
            <a:ext cx="642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CCE40877-C6C8-442B-B2B8-12EA2C837668}" type="TxLink">
              <a:rPr kumimoji="1" lang="en-US" altLang="en-US" sz="1100" b="0" i="0" u="none" strike="noStrike">
                <a:solidFill>
                  <a:srgbClr val="000000"/>
                </a:solidFill>
                <a:latin typeface="游ゴシック"/>
                <a:ea typeface="游ゴシック"/>
              </a:rPr>
              <a:pPr algn="ctr"/>
              <a:t>x</a:t>
            </a:fld>
            <a:endParaRPr kumimoji="1" lang="ja-JP" altLang="en-US" sz="1100">
              <a:latin typeface="Cambria Math" panose="02040503050406030204" pitchFamily="18" charset="0"/>
            </a:endParaRPr>
          </a:p>
        </cdr:txBody>
      </cdr:sp>
      <cdr:sp macro="" textlink="'3次式係数計算過程'!$DE$26">
        <cdr:nvSpPr>
          <cdr:cNvPr id="85" name="テキスト ボックス 47">
            <a:extLst xmlns:a="http://schemas.openxmlformats.org/drawingml/2006/main">
              <a:ext uri="{FF2B5EF4-FFF2-40B4-BE49-F238E27FC236}">
                <a16:creationId xmlns:a16="http://schemas.microsoft.com/office/drawing/2014/main" id="{C473508B-E93C-5842-0619-33F304E79BDF}"/>
              </a:ext>
            </a:extLst>
          </cdr:cNvPr>
          <cdr:cNvSpPr txBox="1"/>
        </cdr:nvSpPr>
        <cdr:spPr>
          <a:xfrm xmlns:a="http://schemas.openxmlformats.org/drawingml/2006/main">
            <a:off x="1400175" y="190501"/>
            <a:ext cx="92869"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6C4F927A-13A8-41DD-9492-5B2B2C80038C}" type="TxLink">
              <a:rPr kumimoji="1" lang="en-US" altLang="en-US" sz="500" b="0" i="0" u="none" strike="noStrike">
                <a:solidFill>
                  <a:srgbClr val="000000"/>
                </a:solidFill>
                <a:latin typeface="游ゴシック"/>
                <a:ea typeface="游ゴシック"/>
              </a:rPr>
              <a:pPr/>
              <a:t>2</a:t>
            </a:fld>
            <a:endParaRPr kumimoji="1" lang="ja-JP" altLang="en-US" sz="100">
              <a:latin typeface="Cambria Math" panose="02040503050406030204" pitchFamily="18" charset="0"/>
            </a:endParaRPr>
          </a:p>
        </cdr:txBody>
      </cdr:sp>
      <cdr:sp macro="" textlink="'3次式係数計算過程'!$DB$27">
        <cdr:nvSpPr>
          <cdr:cNvPr id="86" name="テキスト ボックス 48">
            <a:extLst xmlns:a="http://schemas.openxmlformats.org/drawingml/2006/main">
              <a:ext uri="{FF2B5EF4-FFF2-40B4-BE49-F238E27FC236}">
                <a16:creationId xmlns:a16="http://schemas.microsoft.com/office/drawing/2014/main" id="{BCE92A93-7EAE-E253-2B41-858595997609}"/>
              </a:ext>
            </a:extLst>
          </cdr:cNvPr>
          <cdr:cNvSpPr txBox="1"/>
        </cdr:nvSpPr>
        <cdr:spPr>
          <a:xfrm xmlns:a="http://schemas.openxmlformats.org/drawingml/2006/main">
            <a:off x="335756" y="333376"/>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0BCC8996-D907-47CA-A0A0-B4EED156BA11}" type="TxLink">
              <a:rPr kumimoji="1" lang="en-US" altLang="en-US" sz="1100" b="0" i="0" u="none" strike="noStrike">
                <a:solidFill>
                  <a:srgbClr val="000000"/>
                </a:solidFill>
                <a:latin typeface="游ゴシック"/>
                <a:ea typeface="游ゴシック"/>
              </a:rPr>
              <a:pPr/>
              <a:t>+</a:t>
            </a:fld>
            <a:endParaRPr kumimoji="1" lang="ja-JP" altLang="en-US" sz="1100">
              <a:latin typeface="Cambria Math" panose="02040503050406030204" pitchFamily="18" charset="0"/>
            </a:endParaRPr>
          </a:p>
        </cdr:txBody>
      </cdr:sp>
      <cdr:sp macro="" textlink="'3次式係数計算過程'!$DC$27">
        <cdr:nvSpPr>
          <cdr:cNvPr id="87" name="テキスト ボックス 49">
            <a:extLst xmlns:a="http://schemas.openxmlformats.org/drawingml/2006/main">
              <a:ext uri="{FF2B5EF4-FFF2-40B4-BE49-F238E27FC236}">
                <a16:creationId xmlns:a16="http://schemas.microsoft.com/office/drawing/2014/main" id="{B0D216ED-FCD1-D5A7-CBEF-BC42F79004D2}"/>
              </a:ext>
            </a:extLst>
          </cdr:cNvPr>
          <cdr:cNvSpPr txBox="1"/>
        </cdr:nvSpPr>
        <cdr:spPr>
          <a:xfrm xmlns:a="http://schemas.openxmlformats.org/drawingml/2006/main">
            <a:off x="478630" y="333375"/>
            <a:ext cx="854870"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7AC48CD7-3325-4509-9631-DD4FE449F91E}" type="TxLink">
              <a:rPr kumimoji="1" lang="en-US" altLang="en-US" sz="1100" b="0" i="0" u="none" strike="noStrike">
                <a:solidFill>
                  <a:srgbClr val="000000"/>
                </a:solidFill>
                <a:latin typeface="游ゴシック"/>
                <a:ea typeface="游ゴシック"/>
              </a:rPr>
              <a:pPr/>
              <a:t>0.008768815</a:t>
            </a:fld>
            <a:endParaRPr kumimoji="1" lang="ja-JP" altLang="en-US" sz="1100">
              <a:latin typeface="Cambria Math" panose="02040503050406030204" pitchFamily="18" charset="0"/>
            </a:endParaRPr>
          </a:p>
        </cdr:txBody>
      </cdr:sp>
      <cdr:sp macro="" textlink="'3次式係数計算過程'!$DD$27">
        <cdr:nvSpPr>
          <cdr:cNvPr id="88" name="テキスト ボックス 50">
            <a:extLst xmlns:a="http://schemas.openxmlformats.org/drawingml/2006/main">
              <a:ext uri="{FF2B5EF4-FFF2-40B4-BE49-F238E27FC236}">
                <a16:creationId xmlns:a16="http://schemas.microsoft.com/office/drawing/2014/main" id="{9F68DEB8-AC35-6202-C26C-34541E1DBD56}"/>
              </a:ext>
            </a:extLst>
          </cdr:cNvPr>
          <cdr:cNvSpPr txBox="1"/>
        </cdr:nvSpPr>
        <cdr:spPr>
          <a:xfrm xmlns:a="http://schemas.openxmlformats.org/drawingml/2006/main">
            <a:off x="1335881" y="333376"/>
            <a:ext cx="642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7F9A9B1-9941-44DD-A933-8FCBE534BE0F}" type="TxLink">
              <a:rPr kumimoji="1" lang="en-US" altLang="en-US" sz="1100" b="0" i="0" u="none" strike="noStrike">
                <a:solidFill>
                  <a:srgbClr val="000000"/>
                </a:solidFill>
                <a:latin typeface="游ゴシック"/>
                <a:ea typeface="游ゴシック"/>
              </a:rPr>
              <a:pPr algn="ctr"/>
              <a:t>x</a:t>
            </a:fld>
            <a:endParaRPr kumimoji="1" lang="ja-JP" altLang="en-US" sz="1100">
              <a:latin typeface="Cambria Math" panose="02040503050406030204" pitchFamily="18" charset="0"/>
            </a:endParaRPr>
          </a:p>
        </cdr:txBody>
      </cdr:sp>
      <cdr:sp macro="" textlink="'3次式係数計算過程'!$DB$28">
        <cdr:nvSpPr>
          <cdr:cNvPr id="89" name="テキスト ボックス 51">
            <a:extLst xmlns:a="http://schemas.openxmlformats.org/drawingml/2006/main">
              <a:ext uri="{FF2B5EF4-FFF2-40B4-BE49-F238E27FC236}">
                <a16:creationId xmlns:a16="http://schemas.microsoft.com/office/drawing/2014/main" id="{ADFAC23B-5AEF-5BA3-0FA9-2E29B281EFB9}"/>
              </a:ext>
            </a:extLst>
          </cdr:cNvPr>
          <cdr:cNvSpPr txBox="1"/>
        </cdr:nvSpPr>
        <cdr:spPr>
          <a:xfrm xmlns:a="http://schemas.openxmlformats.org/drawingml/2006/main">
            <a:off x="335756" y="476250"/>
            <a:ext cx="140494"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4802608-71B8-4850-AEA4-BB1D19287E78}" type="TxLink">
              <a:rPr kumimoji="1" lang="en-US" altLang="en-US" sz="1100" b="0" i="0" u="none" strike="noStrike">
                <a:solidFill>
                  <a:srgbClr val="000000"/>
                </a:solidFill>
                <a:latin typeface="游ゴシック"/>
                <a:ea typeface="游ゴシック"/>
              </a:rPr>
              <a:pPr/>
              <a:t>+</a:t>
            </a:fld>
            <a:endParaRPr kumimoji="1" lang="ja-JP" altLang="en-US" sz="1100">
              <a:latin typeface="Cambria Math" panose="02040503050406030204" pitchFamily="18" charset="0"/>
            </a:endParaRPr>
          </a:p>
        </cdr:txBody>
      </cdr:sp>
      <cdr:sp macro="" textlink="'3次式係数計算過程'!$DC$28">
        <cdr:nvSpPr>
          <cdr:cNvPr id="90" name="テキスト ボックス 52">
            <a:extLst xmlns:a="http://schemas.openxmlformats.org/drawingml/2006/main">
              <a:ext uri="{FF2B5EF4-FFF2-40B4-BE49-F238E27FC236}">
                <a16:creationId xmlns:a16="http://schemas.microsoft.com/office/drawing/2014/main" id="{3626A4C3-57B4-3968-59EC-CA443659B823}"/>
              </a:ext>
            </a:extLst>
          </cdr:cNvPr>
          <cdr:cNvSpPr txBox="1"/>
        </cdr:nvSpPr>
        <cdr:spPr>
          <a:xfrm xmlns:a="http://schemas.openxmlformats.org/drawingml/2006/main">
            <a:off x="476250" y="476251"/>
            <a:ext cx="854870" cy="1428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C0290EBF-8DDB-4FBD-A353-D76248FA3CC3}" type="TxLink">
              <a:rPr kumimoji="1" lang="en-US" altLang="en-US" sz="1100" b="0" i="0" u="none" strike="noStrike">
                <a:solidFill>
                  <a:srgbClr val="000000"/>
                </a:solidFill>
                <a:latin typeface="游ゴシック"/>
                <a:ea typeface="游ゴシック"/>
              </a:rPr>
              <a:pPr/>
              <a:t>0.000456885</a:t>
            </a:fld>
            <a:endParaRPr kumimoji="1" lang="ja-JP" altLang="en-US" sz="1100">
              <a:latin typeface="Cambria Math" panose="02040503050406030204" pitchFamily="18" charset="0"/>
            </a:endParaRPr>
          </a:p>
        </cdr:txBody>
      </cdr:sp>
    </cdr:grpSp>
  </cdr:relSizeAnchor>
</c:userShapes>
</file>

<file path=xl/drawings/drawing7.xml><?xml version="1.0" encoding="utf-8"?>
<xdr:wsDr xmlns:xdr="http://schemas.openxmlformats.org/drawingml/2006/spreadsheetDrawing" xmlns:a="http://schemas.openxmlformats.org/drawingml/2006/main">
  <xdr:twoCellAnchor>
    <xdr:from>
      <xdr:col>17</xdr:col>
      <xdr:colOff>7620</xdr:colOff>
      <xdr:row>123</xdr:row>
      <xdr:rowOff>0</xdr:rowOff>
    </xdr:from>
    <xdr:to>
      <xdr:col>24</xdr:col>
      <xdr:colOff>0</xdr:colOff>
      <xdr:row>137</xdr:row>
      <xdr:rowOff>0</xdr:rowOff>
    </xdr:to>
    <xdr:graphicFrame macro="">
      <xdr:nvGraphicFramePr>
        <xdr:cNvPr id="2" name="グラフ 1">
          <a:extLst>
            <a:ext uri="{FF2B5EF4-FFF2-40B4-BE49-F238E27FC236}">
              <a16:creationId xmlns:a16="http://schemas.microsoft.com/office/drawing/2014/main" id="{D8BCC14C-63E7-47C6-8B0E-9B2959DE7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7620</xdr:colOff>
      <xdr:row>123</xdr:row>
      <xdr:rowOff>0</xdr:rowOff>
    </xdr:from>
    <xdr:to>
      <xdr:col>24</xdr:col>
      <xdr:colOff>0</xdr:colOff>
      <xdr:row>137</xdr:row>
      <xdr:rowOff>0</xdr:rowOff>
    </xdr:to>
    <xdr:graphicFrame macro="">
      <xdr:nvGraphicFramePr>
        <xdr:cNvPr id="3" name="グラフ 2">
          <a:extLst>
            <a:ext uri="{FF2B5EF4-FFF2-40B4-BE49-F238E27FC236}">
              <a16:creationId xmlns:a16="http://schemas.microsoft.com/office/drawing/2014/main" id="{26BE06E1-08F1-4D6B-9D58-6F7300C1F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3</xdr:row>
      <xdr:rowOff>0</xdr:rowOff>
    </xdr:from>
    <xdr:to>
      <xdr:col>14</xdr:col>
      <xdr:colOff>0</xdr:colOff>
      <xdr:row>14</xdr:row>
      <xdr:rowOff>0</xdr:rowOff>
    </xdr:to>
    <xdr:graphicFrame macro="">
      <xdr:nvGraphicFramePr>
        <xdr:cNvPr id="4" name="グラフ 3">
          <a:extLst>
            <a:ext uri="{FF2B5EF4-FFF2-40B4-BE49-F238E27FC236}">
              <a16:creationId xmlns:a16="http://schemas.microsoft.com/office/drawing/2014/main" id="{B3D509AE-B00D-4FCF-945B-5E5780061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41</xdr:row>
      <xdr:rowOff>214311</xdr:rowOff>
    </xdr:from>
    <xdr:to>
      <xdr:col>13</xdr:col>
      <xdr:colOff>0</xdr:colOff>
      <xdr:row>59</xdr:row>
      <xdr:rowOff>-1</xdr:rowOff>
    </xdr:to>
    <xdr:graphicFrame macro="">
      <xdr:nvGraphicFramePr>
        <xdr:cNvPr id="5" name="グラフ 4">
          <a:extLst>
            <a:ext uri="{FF2B5EF4-FFF2-40B4-BE49-F238E27FC236}">
              <a16:creationId xmlns:a16="http://schemas.microsoft.com/office/drawing/2014/main" id="{0260D8E4-0007-4B62-81A2-85845971B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10</xdr:row>
      <xdr:rowOff>0</xdr:rowOff>
    </xdr:from>
    <xdr:to>
      <xdr:col>32</xdr:col>
      <xdr:colOff>0</xdr:colOff>
      <xdr:row>20</xdr:row>
      <xdr:rowOff>0</xdr:rowOff>
    </xdr:to>
    <xdr:graphicFrame macro="">
      <xdr:nvGraphicFramePr>
        <xdr:cNvPr id="2" name="グラフ 1">
          <a:extLst>
            <a:ext uri="{FF2B5EF4-FFF2-40B4-BE49-F238E27FC236}">
              <a16:creationId xmlns:a16="http://schemas.microsoft.com/office/drawing/2014/main" id="{07DE3D9B-1552-4DA7-8C64-3B9C9E084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19049</xdr:colOff>
      <xdr:row>7</xdr:row>
      <xdr:rowOff>0</xdr:rowOff>
    </xdr:from>
    <xdr:to>
      <xdr:col>62</xdr:col>
      <xdr:colOff>0</xdr:colOff>
      <xdr:row>21</xdr:row>
      <xdr:rowOff>0</xdr:rowOff>
    </xdr:to>
    <xdr:graphicFrame macro="">
      <xdr:nvGraphicFramePr>
        <xdr:cNvPr id="3" name="グラフ 2">
          <a:extLst>
            <a:ext uri="{FF2B5EF4-FFF2-40B4-BE49-F238E27FC236}">
              <a16:creationId xmlns:a16="http://schemas.microsoft.com/office/drawing/2014/main" id="{08A45D10-163B-4B7C-BBAC-3BFF95796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47</xdr:col>
      <xdr:colOff>19049</xdr:colOff>
      <xdr:row>26</xdr:row>
      <xdr:rowOff>0</xdr:rowOff>
    </xdr:from>
    <xdr:to>
      <xdr:col>62</xdr:col>
      <xdr:colOff>0</xdr:colOff>
      <xdr:row>40</xdr:row>
      <xdr:rowOff>0</xdr:rowOff>
    </xdr:to>
    <xdr:graphicFrame macro="">
      <xdr:nvGraphicFramePr>
        <xdr:cNvPr id="4" name="グラフ 3">
          <a:extLst>
            <a:ext uri="{FF2B5EF4-FFF2-40B4-BE49-F238E27FC236}">
              <a16:creationId xmlns:a16="http://schemas.microsoft.com/office/drawing/2014/main" id="{C963A665-36B7-AE33-9B9E-06849AA48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37</xdr:col>
      <xdr:colOff>0</xdr:colOff>
      <xdr:row>6</xdr:row>
      <xdr:rowOff>0</xdr:rowOff>
    </xdr:from>
    <xdr:ext cx="1107676" cy="404341"/>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F357CA87-7BCE-4369-B6B0-A662B44134E9}"/>
                </a:ext>
              </a:extLst>
            </xdr:cNvPr>
            <xdr:cNvSpPr txBox="1"/>
          </xdr:nvSpPr>
          <xdr:spPr>
            <a:xfrm>
              <a:off x="9515475" y="1428750"/>
              <a:ext cx="1107676" cy="4043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kumimoji="1" lang="en-US" altLang="ja-JP" sz="1800" i="1">
                          <a:latin typeface="Cambria Math" panose="02040503050406030204" pitchFamily="18" charset="0"/>
                        </a:rPr>
                      </m:ctrlPr>
                    </m:sSubPr>
                    <m:e>
                      <m:r>
                        <a:rPr kumimoji="1" lang="en-US" altLang="ja-JP" sz="1800" b="0" i="1">
                          <a:latin typeface="Cambria Math" panose="02040503050406030204" pitchFamily="18" charset="0"/>
                        </a:rPr>
                        <m:t>𝐶</m:t>
                      </m:r>
                    </m:e>
                    <m:sub>
                      <m:r>
                        <a:rPr kumimoji="1" lang="en-US" altLang="ja-JP" sz="1800" b="0" i="1">
                          <a:latin typeface="Cambria Math" panose="02040503050406030204" pitchFamily="18" charset="0"/>
                        </a:rPr>
                        <m:t>𝑓</m:t>
                      </m:r>
                    </m:sub>
                  </m:sSub>
                  <m:r>
                    <a:rPr kumimoji="1" lang="en-US" altLang="ja-JP" sz="1800" b="0" i="1">
                      <a:latin typeface="Cambria Math" panose="02040503050406030204" pitchFamily="18" charset="0"/>
                    </a:rPr>
                    <m:t>=</m:t>
                  </m:r>
                  <m:f>
                    <m:fPr>
                      <m:ctrlPr>
                        <a:rPr kumimoji="1" lang="en-US" altLang="ja-JP" sz="1800" b="0" i="1">
                          <a:latin typeface="Cambria Math" panose="02040503050406030204" pitchFamily="18" charset="0"/>
                        </a:rPr>
                      </m:ctrlPr>
                    </m:fPr>
                    <m:num>
                      <m:r>
                        <a:rPr kumimoji="1" lang="en-US" altLang="ja-JP" sz="1800" b="0" i="1">
                          <a:latin typeface="Cambria Math" panose="02040503050406030204" pitchFamily="18" charset="0"/>
                        </a:rPr>
                        <m:t>𝑚</m:t>
                      </m:r>
                    </m:num>
                    <m:den>
                      <m:r>
                        <a:rPr kumimoji="1" lang="ja-JP" altLang="en-US" sz="1800" b="0" i="1">
                          <a:latin typeface="Cambria Math" panose="02040503050406030204" pitchFamily="18" charset="0"/>
                        </a:rPr>
                        <m:t>𝜌</m:t>
                      </m:r>
                      <m:sSub>
                        <m:sSubPr>
                          <m:ctrlPr>
                            <a:rPr kumimoji="1" lang="en-US" altLang="ja-JP" sz="1800" b="0" i="1">
                              <a:latin typeface="Cambria Math" panose="02040503050406030204" pitchFamily="18" charset="0"/>
                            </a:rPr>
                          </m:ctrlPr>
                        </m:sSubPr>
                        <m:e>
                          <m:r>
                            <a:rPr kumimoji="1" lang="en-US" altLang="ja-JP" sz="1800" b="0" i="1">
                              <a:latin typeface="Cambria Math" panose="02040503050406030204" pitchFamily="18" charset="0"/>
                            </a:rPr>
                            <m:t>𝑁</m:t>
                          </m:r>
                        </m:e>
                        <m:sub>
                          <m:r>
                            <a:rPr kumimoji="1" lang="en-US" altLang="ja-JP" sz="1800" b="0" i="1">
                              <a:latin typeface="Cambria Math" panose="02040503050406030204" pitchFamily="18" charset="0"/>
                            </a:rPr>
                            <m:t>𝑟</m:t>
                          </m:r>
                        </m:sub>
                      </m:sSub>
                      <m:sSup>
                        <m:sSupPr>
                          <m:ctrlPr>
                            <a:rPr kumimoji="1" lang="en-US" altLang="ja-JP" sz="1800" b="0" i="1">
                              <a:latin typeface="Cambria Math" panose="02040503050406030204" pitchFamily="18" charset="0"/>
                            </a:rPr>
                          </m:ctrlPr>
                        </m:sSupPr>
                        <m:e>
                          <m:r>
                            <a:rPr kumimoji="1" lang="en-US" altLang="ja-JP" sz="1800" b="0" i="1">
                              <a:latin typeface="Cambria Math" panose="02040503050406030204" pitchFamily="18" charset="0"/>
                            </a:rPr>
                            <m:t>𝐷</m:t>
                          </m:r>
                        </m:e>
                        <m:sup>
                          <m:r>
                            <a:rPr kumimoji="1" lang="en-US" altLang="ja-JP" sz="1800" b="0" i="1">
                              <a:latin typeface="Cambria Math" panose="02040503050406030204" pitchFamily="18" charset="0"/>
                            </a:rPr>
                            <m:t>3</m:t>
                          </m:r>
                        </m:sup>
                      </m:sSup>
                    </m:den>
                  </m:f>
                </m:oMath>
              </a14:m>
              <a:r>
                <a:rPr kumimoji="1" lang="ja-JP" altLang="en-US" sz="1800"/>
                <a:t> </a:t>
              </a:r>
            </a:p>
          </xdr:txBody>
        </xdr:sp>
      </mc:Choice>
      <mc:Fallback xmlns="">
        <xdr:sp macro="" textlink="">
          <xdr:nvSpPr>
            <xdr:cNvPr id="2" name="テキスト ボックス 1">
              <a:extLst>
                <a:ext uri="{FF2B5EF4-FFF2-40B4-BE49-F238E27FC236}">
                  <a16:creationId xmlns:a16="http://schemas.microsoft.com/office/drawing/2014/main" id="{F357CA87-7BCE-4369-B6B0-A662B44134E9}"/>
                </a:ext>
              </a:extLst>
            </xdr:cNvPr>
            <xdr:cNvSpPr txBox="1"/>
          </xdr:nvSpPr>
          <xdr:spPr>
            <a:xfrm>
              <a:off x="9515475" y="1428750"/>
              <a:ext cx="1107676" cy="4043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0" i="0">
                  <a:latin typeface="Cambria Math" panose="02040503050406030204" pitchFamily="18" charset="0"/>
                </a:rPr>
                <a:t>𝐶_𝑓=𝑚/(</a:t>
              </a:r>
              <a:r>
                <a:rPr kumimoji="1" lang="ja-JP" altLang="en-US" sz="1800" b="0" i="0">
                  <a:latin typeface="Cambria Math" panose="02040503050406030204" pitchFamily="18" charset="0"/>
                </a:rPr>
                <a:t>𝜌</a:t>
              </a:r>
              <a:r>
                <a:rPr kumimoji="1" lang="en-US" altLang="ja-JP" sz="1800" b="0" i="0">
                  <a:latin typeface="Cambria Math" panose="02040503050406030204" pitchFamily="18" charset="0"/>
                </a:rPr>
                <a:t>𝑁_𝑟 𝐷^3 )</a:t>
              </a:r>
              <a:r>
                <a:rPr kumimoji="1" lang="ja-JP" altLang="en-US" sz="1800"/>
                <a:t> </a:t>
              </a:r>
            </a:p>
          </xdr:txBody>
        </xdr:sp>
      </mc:Fallback>
    </mc:AlternateContent>
    <xdr:clientData/>
  </xdr:oneCellAnchor>
  <xdr:oneCellAnchor>
    <xdr:from>
      <xdr:col>43</xdr:col>
      <xdr:colOff>836181</xdr:colOff>
      <xdr:row>6</xdr:row>
      <xdr:rowOff>0</xdr:rowOff>
    </xdr:from>
    <xdr:ext cx="1259319" cy="482761"/>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7FCE2533-6B8E-470E-BC2C-C4FC4005885A}"/>
                </a:ext>
              </a:extLst>
            </xdr:cNvPr>
            <xdr:cNvSpPr txBox="1"/>
          </xdr:nvSpPr>
          <xdr:spPr>
            <a:xfrm>
              <a:off x="11313681" y="1428750"/>
              <a:ext cx="1259319" cy="4827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kumimoji="1" lang="en-US" altLang="ja-JP" sz="1800" i="1">
                          <a:latin typeface="Cambria Math" panose="02040503050406030204" pitchFamily="18" charset="0"/>
                        </a:rPr>
                      </m:ctrlPr>
                    </m:sSubPr>
                    <m:e>
                      <m:r>
                        <a:rPr kumimoji="1" lang="en-US" altLang="ja-JP" sz="1800" b="0" i="1">
                          <a:latin typeface="Cambria Math" panose="02040503050406030204" pitchFamily="18" charset="0"/>
                        </a:rPr>
                        <m:t>𝐶</m:t>
                      </m:r>
                    </m:e>
                    <m:sub>
                      <m:r>
                        <a:rPr kumimoji="1" lang="en-US" altLang="ja-JP" sz="1800" b="0" i="1">
                          <a:latin typeface="Cambria Math" panose="02040503050406030204" pitchFamily="18" charset="0"/>
                        </a:rPr>
                        <m:t>h</m:t>
                      </m:r>
                    </m:sub>
                  </m:sSub>
                  <m:r>
                    <a:rPr kumimoji="1" lang="en-US" altLang="ja-JP" sz="1800" b="0" i="1">
                      <a:latin typeface="Cambria Math" panose="02040503050406030204" pitchFamily="18" charset="0"/>
                    </a:rPr>
                    <m:t>=</m:t>
                  </m:r>
                  <m:f>
                    <m:fPr>
                      <m:ctrlPr>
                        <a:rPr kumimoji="1" lang="en-US" altLang="ja-JP" sz="1800" b="0" i="1">
                          <a:latin typeface="Cambria Math" panose="02040503050406030204" pitchFamily="18" charset="0"/>
                        </a:rPr>
                      </m:ctrlPr>
                    </m:fPr>
                    <m:num>
                      <m:sSup>
                        <m:sSupPr>
                          <m:ctrlPr>
                            <a:rPr kumimoji="1" lang="en-US" altLang="ja-JP" sz="1800" b="0" i="1">
                              <a:latin typeface="Cambria Math" panose="02040503050406030204" pitchFamily="18" charset="0"/>
                            </a:rPr>
                          </m:ctrlPr>
                        </m:sSupPr>
                        <m:e>
                          <m:r>
                            <a:rPr kumimoji="1" lang="en-US" altLang="ja-JP" sz="1800" b="0" i="1">
                              <a:latin typeface="Cambria Math" panose="02040503050406030204" pitchFamily="18" charset="0"/>
                            </a:rPr>
                            <m:t>10</m:t>
                          </m:r>
                        </m:e>
                        <m:sup>
                          <m:r>
                            <a:rPr kumimoji="1" lang="en-US" altLang="ja-JP" sz="1800" b="0" i="1">
                              <a:latin typeface="Cambria Math" panose="02040503050406030204" pitchFamily="18" charset="0"/>
                            </a:rPr>
                            <m:t>3</m:t>
                          </m:r>
                        </m:sup>
                      </m:sSup>
                      <m:r>
                        <a:rPr kumimoji="1" lang="en-US" altLang="ja-JP" sz="1800" b="0" i="1">
                          <a:latin typeface="Cambria Math" panose="02040503050406030204" pitchFamily="18" charset="0"/>
                        </a:rPr>
                        <m:t>𝑑𝑃</m:t>
                      </m:r>
                    </m:num>
                    <m:den>
                      <m:r>
                        <a:rPr kumimoji="1" lang="ja-JP" altLang="en-US" sz="1800" b="0" i="1">
                          <a:latin typeface="Cambria Math" panose="02040503050406030204" pitchFamily="18" charset="0"/>
                        </a:rPr>
                        <m:t>𝜌</m:t>
                      </m:r>
                      <m:sSup>
                        <m:sSupPr>
                          <m:ctrlPr>
                            <a:rPr kumimoji="1" lang="en-US" altLang="ja-JP" sz="1800" b="0" i="1">
                              <a:latin typeface="Cambria Math" panose="02040503050406030204" pitchFamily="18" charset="0"/>
                            </a:rPr>
                          </m:ctrlPr>
                        </m:sSupPr>
                        <m:e>
                          <m:sSub>
                            <m:sSubPr>
                              <m:ctrlPr>
                                <a:rPr kumimoji="1" lang="en-US" altLang="ja-JP" sz="1800" b="0" i="1">
                                  <a:latin typeface="Cambria Math" panose="02040503050406030204" pitchFamily="18" charset="0"/>
                                </a:rPr>
                              </m:ctrlPr>
                            </m:sSubPr>
                            <m:e>
                              <m:r>
                                <a:rPr kumimoji="1" lang="en-US" altLang="ja-JP" sz="1800" b="0" i="1">
                                  <a:latin typeface="Cambria Math" panose="02040503050406030204" pitchFamily="18" charset="0"/>
                                </a:rPr>
                                <m:t>𝑁</m:t>
                              </m:r>
                            </m:e>
                            <m:sub>
                              <m:r>
                                <a:rPr kumimoji="1" lang="en-US" altLang="ja-JP" sz="1800" b="0" i="1">
                                  <a:latin typeface="Cambria Math" panose="02040503050406030204" pitchFamily="18" charset="0"/>
                                </a:rPr>
                                <m:t>𝑟</m:t>
                              </m:r>
                            </m:sub>
                          </m:sSub>
                        </m:e>
                        <m:sup>
                          <m:r>
                            <a:rPr kumimoji="1" lang="en-US" altLang="ja-JP" sz="1800" b="0" i="1">
                              <a:latin typeface="Cambria Math" panose="02040503050406030204" pitchFamily="18" charset="0"/>
                            </a:rPr>
                            <m:t>2</m:t>
                          </m:r>
                        </m:sup>
                      </m:sSup>
                      <m:sSup>
                        <m:sSupPr>
                          <m:ctrlPr>
                            <a:rPr kumimoji="1" lang="en-US" altLang="ja-JP" sz="1800" b="0" i="1">
                              <a:latin typeface="Cambria Math" panose="02040503050406030204" pitchFamily="18" charset="0"/>
                            </a:rPr>
                          </m:ctrlPr>
                        </m:sSupPr>
                        <m:e>
                          <m:r>
                            <a:rPr kumimoji="1" lang="en-US" altLang="ja-JP" sz="1800" b="0" i="1">
                              <a:latin typeface="Cambria Math" panose="02040503050406030204" pitchFamily="18" charset="0"/>
                            </a:rPr>
                            <m:t>𝐷</m:t>
                          </m:r>
                        </m:e>
                        <m:sup>
                          <m:r>
                            <a:rPr kumimoji="1" lang="en-US" altLang="ja-JP" sz="1800" b="0" i="1">
                              <a:latin typeface="Cambria Math" panose="02040503050406030204" pitchFamily="18" charset="0"/>
                            </a:rPr>
                            <m:t>2</m:t>
                          </m:r>
                        </m:sup>
                      </m:sSup>
                    </m:den>
                  </m:f>
                </m:oMath>
              </a14:m>
              <a:r>
                <a:rPr kumimoji="1" lang="ja-JP" altLang="en-US" sz="1800"/>
                <a:t> </a:t>
              </a:r>
            </a:p>
          </xdr:txBody>
        </xdr:sp>
      </mc:Choice>
      <mc:Fallback xmlns="">
        <xdr:sp macro="" textlink="">
          <xdr:nvSpPr>
            <xdr:cNvPr id="3" name="テキスト ボックス 2">
              <a:extLst>
                <a:ext uri="{FF2B5EF4-FFF2-40B4-BE49-F238E27FC236}">
                  <a16:creationId xmlns:a16="http://schemas.microsoft.com/office/drawing/2014/main" id="{7FCE2533-6B8E-470E-BC2C-C4FC4005885A}"/>
                </a:ext>
              </a:extLst>
            </xdr:cNvPr>
            <xdr:cNvSpPr txBox="1"/>
          </xdr:nvSpPr>
          <xdr:spPr>
            <a:xfrm>
              <a:off x="11313681" y="1428750"/>
              <a:ext cx="1259319" cy="4827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0" i="0">
                  <a:latin typeface="Cambria Math" panose="02040503050406030204" pitchFamily="18" charset="0"/>
                </a:rPr>
                <a:t>𝐶_ℎ=(10^3 𝑑𝑃)/(</a:t>
              </a:r>
              <a:r>
                <a:rPr kumimoji="1" lang="ja-JP" altLang="en-US" sz="1800" b="0" i="0">
                  <a:latin typeface="Cambria Math" panose="02040503050406030204" pitchFamily="18" charset="0"/>
                </a:rPr>
                <a:t>𝜌</a:t>
              </a:r>
              <a:r>
                <a:rPr kumimoji="1" lang="en-US" altLang="ja-JP" sz="1800" b="0" i="0">
                  <a:latin typeface="Cambria Math" panose="02040503050406030204" pitchFamily="18" charset="0"/>
                </a:rPr>
                <a:t>〖𝑁_𝑟〗^2 𝐷^2 )</a:t>
              </a:r>
              <a:r>
                <a:rPr kumimoji="1" lang="ja-JP" altLang="en-US" sz="1800"/>
                <a:t> </a:t>
              </a:r>
            </a:p>
          </xdr:txBody>
        </xdr:sp>
      </mc:Fallback>
    </mc:AlternateContent>
    <xdr:clientData/>
  </xdr:oneCellAnchor>
  <xdr:oneCellAnchor>
    <xdr:from>
      <xdr:col>51</xdr:col>
      <xdr:colOff>821625</xdr:colOff>
      <xdr:row>6</xdr:row>
      <xdr:rowOff>0</xdr:rowOff>
    </xdr:from>
    <xdr:ext cx="1273875" cy="427040"/>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3AB79501-4070-471F-ADEB-4566DEAA2B79}"/>
                </a:ext>
              </a:extLst>
            </xdr:cNvPr>
            <xdr:cNvSpPr txBox="1"/>
          </xdr:nvSpPr>
          <xdr:spPr>
            <a:xfrm>
              <a:off x="13375575" y="1428750"/>
              <a:ext cx="1273875" cy="4270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kumimoji="1" lang="en-US" altLang="ja-JP" sz="1800" i="1">
                          <a:latin typeface="Cambria Math" panose="02040503050406030204" pitchFamily="18" charset="0"/>
                        </a:rPr>
                      </m:ctrlPr>
                    </m:sSubPr>
                    <m:e>
                      <m:r>
                        <a:rPr kumimoji="1" lang="en-US" altLang="ja-JP" sz="1800" b="0" i="1">
                          <a:latin typeface="Cambria Math" panose="02040503050406030204" pitchFamily="18" charset="0"/>
                        </a:rPr>
                        <m:t>𝐶</m:t>
                      </m:r>
                    </m:e>
                    <m:sub>
                      <m:r>
                        <a:rPr kumimoji="1" lang="en-US" altLang="ja-JP" sz="1800" b="0" i="1">
                          <a:latin typeface="Cambria Math" panose="02040503050406030204" pitchFamily="18" charset="0"/>
                        </a:rPr>
                        <m:t>𝑊</m:t>
                      </m:r>
                    </m:sub>
                  </m:sSub>
                  <m:r>
                    <a:rPr kumimoji="1" lang="en-US" altLang="ja-JP" sz="1800" b="0" i="1">
                      <a:latin typeface="Cambria Math" panose="02040503050406030204" pitchFamily="18" charset="0"/>
                    </a:rPr>
                    <m:t>=</m:t>
                  </m:r>
                  <m:f>
                    <m:fPr>
                      <m:ctrlPr>
                        <a:rPr kumimoji="1" lang="en-US" altLang="ja-JP" sz="1800" b="0" i="1">
                          <a:latin typeface="Cambria Math" panose="02040503050406030204" pitchFamily="18" charset="0"/>
                        </a:rPr>
                      </m:ctrlPr>
                    </m:fPr>
                    <m:num>
                      <m:r>
                        <a:rPr kumimoji="1" lang="en-US" altLang="ja-JP" sz="1800" b="0" i="1">
                          <a:latin typeface="Cambria Math" panose="02040503050406030204" pitchFamily="18" charset="0"/>
                        </a:rPr>
                        <m:t>𝑊</m:t>
                      </m:r>
                    </m:num>
                    <m:den>
                      <m:r>
                        <a:rPr kumimoji="1" lang="ja-JP" altLang="en-US" sz="1800" b="0" i="1">
                          <a:latin typeface="Cambria Math" panose="02040503050406030204" pitchFamily="18" charset="0"/>
                        </a:rPr>
                        <m:t>𝜌</m:t>
                      </m:r>
                      <m:sSup>
                        <m:sSupPr>
                          <m:ctrlPr>
                            <a:rPr kumimoji="1" lang="en-US" altLang="ja-JP" sz="1800" b="0" i="1">
                              <a:latin typeface="Cambria Math" panose="02040503050406030204" pitchFamily="18" charset="0"/>
                            </a:rPr>
                          </m:ctrlPr>
                        </m:sSupPr>
                        <m:e>
                          <m:sSub>
                            <m:sSubPr>
                              <m:ctrlPr>
                                <a:rPr kumimoji="1" lang="en-US" altLang="ja-JP" sz="1800" b="0" i="1">
                                  <a:latin typeface="Cambria Math" panose="02040503050406030204" pitchFamily="18" charset="0"/>
                                </a:rPr>
                              </m:ctrlPr>
                            </m:sSubPr>
                            <m:e>
                              <m:r>
                                <a:rPr kumimoji="1" lang="en-US" altLang="ja-JP" sz="1800" b="0" i="1">
                                  <a:latin typeface="Cambria Math" panose="02040503050406030204" pitchFamily="18" charset="0"/>
                                </a:rPr>
                                <m:t>𝑁</m:t>
                              </m:r>
                            </m:e>
                            <m:sub>
                              <m:r>
                                <a:rPr kumimoji="1" lang="en-US" altLang="ja-JP" sz="1800" b="0" i="1">
                                  <a:latin typeface="Cambria Math" panose="02040503050406030204" pitchFamily="18" charset="0"/>
                                </a:rPr>
                                <m:t>𝑟</m:t>
                              </m:r>
                            </m:sub>
                          </m:sSub>
                        </m:e>
                        <m:sup>
                          <m:r>
                            <a:rPr kumimoji="1" lang="en-US" altLang="ja-JP" sz="1800" b="0" i="1">
                              <a:latin typeface="Cambria Math" panose="02040503050406030204" pitchFamily="18" charset="0"/>
                            </a:rPr>
                            <m:t>3</m:t>
                          </m:r>
                        </m:sup>
                      </m:sSup>
                      <m:sSup>
                        <m:sSupPr>
                          <m:ctrlPr>
                            <a:rPr kumimoji="1" lang="en-US" altLang="ja-JP" sz="1800" b="0" i="1">
                              <a:latin typeface="Cambria Math" panose="02040503050406030204" pitchFamily="18" charset="0"/>
                            </a:rPr>
                          </m:ctrlPr>
                        </m:sSupPr>
                        <m:e>
                          <m:r>
                            <a:rPr kumimoji="1" lang="en-US" altLang="ja-JP" sz="1800" b="0" i="1">
                              <a:latin typeface="Cambria Math" panose="02040503050406030204" pitchFamily="18" charset="0"/>
                            </a:rPr>
                            <m:t>𝐷</m:t>
                          </m:r>
                        </m:e>
                        <m:sup>
                          <m:r>
                            <a:rPr kumimoji="1" lang="en-US" altLang="ja-JP" sz="1800" b="0" i="1">
                              <a:latin typeface="Cambria Math" panose="02040503050406030204" pitchFamily="18" charset="0"/>
                            </a:rPr>
                            <m:t>5</m:t>
                          </m:r>
                        </m:sup>
                      </m:sSup>
                    </m:den>
                  </m:f>
                </m:oMath>
              </a14:m>
              <a:r>
                <a:rPr kumimoji="1" lang="ja-JP" altLang="en-US" sz="1800"/>
                <a:t> </a:t>
              </a:r>
            </a:p>
          </xdr:txBody>
        </xdr:sp>
      </mc:Choice>
      <mc:Fallback xmlns="">
        <xdr:sp macro="" textlink="">
          <xdr:nvSpPr>
            <xdr:cNvPr id="4" name="テキスト ボックス 3">
              <a:extLst>
                <a:ext uri="{FF2B5EF4-FFF2-40B4-BE49-F238E27FC236}">
                  <a16:creationId xmlns:a16="http://schemas.microsoft.com/office/drawing/2014/main" id="{3AB79501-4070-471F-ADEB-4566DEAA2B79}"/>
                </a:ext>
              </a:extLst>
            </xdr:cNvPr>
            <xdr:cNvSpPr txBox="1"/>
          </xdr:nvSpPr>
          <xdr:spPr>
            <a:xfrm>
              <a:off x="13375575" y="1428750"/>
              <a:ext cx="1273875" cy="4270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0" i="0">
                  <a:latin typeface="Cambria Math" panose="02040503050406030204" pitchFamily="18" charset="0"/>
                </a:rPr>
                <a:t>𝐶_𝑊=𝑊/(</a:t>
              </a:r>
              <a:r>
                <a:rPr kumimoji="1" lang="ja-JP" altLang="en-US" sz="1800" b="0" i="0">
                  <a:latin typeface="Cambria Math" panose="02040503050406030204" pitchFamily="18" charset="0"/>
                </a:rPr>
                <a:t>𝜌</a:t>
              </a:r>
              <a:r>
                <a:rPr kumimoji="1" lang="en-US" altLang="ja-JP" sz="1800" b="0" i="0">
                  <a:latin typeface="Cambria Math" panose="02040503050406030204" pitchFamily="18" charset="0"/>
                </a:rPr>
                <a:t>〖𝑁_𝑟〗^3 𝐷^5 )</a:t>
              </a:r>
              <a:r>
                <a:rPr kumimoji="1" lang="ja-JP" altLang="en-US" sz="1800"/>
                <a:t> </a:t>
              </a:r>
            </a:p>
          </xdr:txBody>
        </xdr:sp>
      </mc:Fallback>
    </mc:AlternateContent>
    <xdr:clientData/>
  </xdr:one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33" row="1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F6EAB79-71BC-41B3-827C-5AD3D575D031}">
  <we:reference id="wa200003696" version="1.3.0.0" store="ja-JP" storeType="OMEX"/>
  <we:alternateReferences>
    <we:reference id="wa200003696" version="1.3.0.0" store="" storeType="OMEX"/>
  </we:alternateReferences>
  <we:properties>
    <we:property name="projectV0_1-56c6e055-265e-4713-816e-a646dbb708de" value="{&quot;kind&quot;:&quot;AFEJSONBlobNode&quot;,&quot;id&quot;:&quot;{BF7F7B2E-A13B-4D72-8054-0ABB24E0DB61}&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hyperlink" Target="https://support.microsoft.com/ja-jp/office/%E4%BD%BF%E7%94%A8%E3%81%97%E3%81%A6%E3%81%84%E3%82%8B-office-%E3%81%AE%E3%83%90%E3%83%BC%E3%82%B8%E3%83%A7%E3%83%B3%E3%82%92%E7%A2%BA%E8%AA%8D%E3%81%99%E3%82%8B%E6%96%B9%E6%B3%95-932788b8-a3ce-44bf-bb09-e334518b8b19" TargetMode="External"/><Relationship Id="rId2" Type="http://schemas.openxmlformats.org/officeDocument/2006/relationships/hyperlink" Target="https://www.office.com/" TargetMode="External"/><Relationship Id="rId1" Type="http://schemas.openxmlformats.org/officeDocument/2006/relationships/hyperlink" Target="https://support.microsoft.com/ja-jp/office/lambda-%E9%96%A2%E6%95%B0-bd212d27-1cd1-4321-a34a-ccbf254b8b67" TargetMode="External"/><Relationship Id="rId4"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A1BC2-D08E-43EE-99B6-9205E84664AC}">
  <sheetPr codeName="Sheet2">
    <tabColor rgb="FFFF0000"/>
  </sheetPr>
  <dimension ref="B1:F22"/>
  <sheetViews>
    <sheetView showGridLines="0" showRowColHeaders="0" tabSelected="1" workbookViewId="0">
      <selection activeCell="M13" sqref="M13"/>
    </sheetView>
  </sheetViews>
  <sheetFormatPr defaultColWidth="3.375" defaultRowHeight="20.25" customHeight="1"/>
  <cols>
    <col min="2" max="2" width="1.25" customWidth="1"/>
    <col min="5" max="5" width="73.375" customWidth="1"/>
    <col min="6" max="6" width="1.25" customWidth="1"/>
  </cols>
  <sheetData>
    <row r="1" spans="2:6" ht="20.25" customHeight="1" thickBot="1"/>
    <row r="2" spans="2:6" ht="7.5" customHeight="1" thickTop="1">
      <c r="B2" s="254"/>
      <c r="C2" s="255"/>
      <c r="D2" s="255"/>
      <c r="E2" s="255"/>
      <c r="F2" s="256"/>
    </row>
    <row r="3" spans="2:6" ht="20.25" customHeight="1">
      <c r="B3" s="257"/>
      <c r="C3" s="258" t="s">
        <v>691</v>
      </c>
      <c r="F3" s="259"/>
    </row>
    <row r="4" spans="2:6" ht="6.75" customHeight="1">
      <c r="B4" s="257"/>
      <c r="C4" s="258"/>
      <c r="F4" s="259"/>
    </row>
    <row r="5" spans="2:6" ht="20.25" customHeight="1">
      <c r="B5" s="257"/>
      <c r="C5" s="258" t="s">
        <v>692</v>
      </c>
      <c r="F5" s="259"/>
    </row>
    <row r="6" spans="2:6" ht="7.5" customHeight="1">
      <c r="B6" s="257"/>
      <c r="C6" s="258"/>
      <c r="F6" s="259"/>
    </row>
    <row r="7" spans="2:6" ht="37.5">
      <c r="B7" s="257"/>
      <c r="D7" s="260" t="s">
        <v>701</v>
      </c>
      <c r="E7" s="26" t="s">
        <v>693</v>
      </c>
      <c r="F7" s="259"/>
    </row>
    <row r="8" spans="2:6" ht="18.75">
      <c r="B8" s="257"/>
      <c r="D8" s="260" t="s">
        <v>702</v>
      </c>
      <c r="E8" s="26" t="s">
        <v>694</v>
      </c>
      <c r="F8" s="259"/>
    </row>
    <row r="9" spans="2:6" ht="37.5">
      <c r="B9" s="257"/>
      <c r="D9" s="260" t="s">
        <v>703</v>
      </c>
      <c r="E9" s="26" t="s">
        <v>695</v>
      </c>
      <c r="F9" s="259"/>
    </row>
    <row r="10" spans="2:6" ht="75">
      <c r="B10" s="257"/>
      <c r="D10" s="260" t="s">
        <v>704</v>
      </c>
      <c r="E10" s="26" t="s">
        <v>696</v>
      </c>
      <c r="F10" s="259"/>
    </row>
    <row r="11" spans="2:6" ht="37.5">
      <c r="B11" s="257"/>
      <c r="D11" s="260" t="s">
        <v>705</v>
      </c>
      <c r="E11" s="26" t="s">
        <v>697</v>
      </c>
      <c r="F11" s="259"/>
    </row>
    <row r="12" spans="2:6" ht="37.5">
      <c r="B12" s="257"/>
      <c r="C12" s="258"/>
      <c r="D12" s="260" t="s">
        <v>706</v>
      </c>
      <c r="E12" s="26" t="s">
        <v>698</v>
      </c>
      <c r="F12" s="259"/>
    </row>
    <row r="13" spans="2:6" ht="56.25">
      <c r="B13" s="257"/>
      <c r="D13" s="260" t="s">
        <v>707</v>
      </c>
      <c r="E13" s="26" t="s">
        <v>699</v>
      </c>
      <c r="F13" s="259"/>
    </row>
    <row r="14" spans="2:6" ht="56.25">
      <c r="B14" s="257"/>
      <c r="D14" s="260" t="s">
        <v>708</v>
      </c>
      <c r="E14" s="26" t="s">
        <v>700</v>
      </c>
      <c r="F14" s="259"/>
    </row>
    <row r="15" spans="2:6" ht="7.5" customHeight="1" thickBot="1">
      <c r="B15" s="261"/>
      <c r="C15" s="262"/>
      <c r="D15" s="262"/>
      <c r="E15" s="262"/>
      <c r="F15" s="263"/>
    </row>
    <row r="16" spans="2:6" ht="20.25" customHeight="1" thickTop="1">
      <c r="F16" s="253"/>
    </row>
    <row r="17" spans="6:6" ht="20.25" customHeight="1">
      <c r="F17" s="253"/>
    </row>
    <row r="18" spans="6:6" ht="20.25" customHeight="1">
      <c r="F18" s="253"/>
    </row>
    <row r="19" spans="6:6" ht="20.25" customHeight="1">
      <c r="F19" s="253"/>
    </row>
    <row r="20" spans="6:6" ht="20.25" customHeight="1">
      <c r="F20" s="253"/>
    </row>
    <row r="21" spans="6:6" ht="20.25" customHeight="1">
      <c r="F21" s="253"/>
    </row>
    <row r="22" spans="6:6" ht="20.25" customHeight="1">
      <c r="F22" s="253"/>
    </row>
  </sheetData>
  <sheetProtection algorithmName="SHA-512" hashValue="XVjvnp/S6LC10dp/ttlT96H8gzRgr8uLRt8dCWmph0ICycbqaydgUeWny++RW8BzunjzURERAj21uzQ9Gd7avQ==" saltValue="t0CHrj6yspDJp2tSHswFlg==" spinCount="100000" sheet="1" objects="1" scenarios="1" selectLockedCells="1"/>
  <phoneticPr fontId="2"/>
  <pageMargins left="0.7" right="0.7" top="0.75" bottom="0.75" header="0.3" footer="0.3"/>
  <ignoredErrors>
    <ignoredError sqref="D7:D14"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F6E16-276E-4A07-95EF-797B3BB9150F}">
  <sheetPr codeName="Sheet15">
    <tabColor rgb="FFFFC000"/>
  </sheetPr>
  <dimension ref="A1:AM14"/>
  <sheetViews>
    <sheetView showGridLines="0" showRowColHeaders="0" workbookViewId="0"/>
  </sheetViews>
  <sheetFormatPr defaultColWidth="3.375" defaultRowHeight="20.25" customHeight="1"/>
  <cols>
    <col min="4" max="4" width="17.25" bestFit="1" customWidth="1"/>
    <col min="5" max="5" width="21.25" bestFit="1" customWidth="1"/>
    <col min="6" max="6" width="16.75" bestFit="1" customWidth="1"/>
  </cols>
  <sheetData>
    <row r="1" spans="1:39" s="244" customFormat="1" ht="20.25" customHeight="1">
      <c r="A1" s="243" t="s">
        <v>511</v>
      </c>
    </row>
    <row r="2" spans="1:39" s="244" customFormat="1" ht="30">
      <c r="A2" s="245" t="s">
        <v>675</v>
      </c>
    </row>
    <row r="3" spans="1:39" s="246" customFormat="1" ht="7.5" customHeight="1"/>
    <row r="4" spans="1:39" ht="20.25" customHeight="1">
      <c r="B4" s="135"/>
    </row>
    <row r="5" spans="1:39" ht="20.25" customHeight="1">
      <c r="B5" s="70" t="s">
        <v>478</v>
      </c>
      <c r="C5" s="70"/>
      <c r="H5" s="70" t="s">
        <v>474</v>
      </c>
    </row>
    <row r="6" spans="1:39" ht="20.25" customHeight="1">
      <c r="H6" s="70"/>
      <c r="I6" t="s">
        <v>545</v>
      </c>
    </row>
    <row r="7" spans="1:39" ht="20.25" customHeight="1">
      <c r="C7" t="str">
        <f>"■サンプルデータ数が必要数("&amp;A!K8&amp;")入力されているか"</f>
        <v>■サンプルデータ数が必要数(20)入力されているか</v>
      </c>
      <c r="H7" s="70"/>
      <c r="I7" t="s">
        <v>546</v>
      </c>
    </row>
    <row r="8" spans="1:39" ht="20.25" customHeight="1">
      <c r="D8" s="135" t="str">
        <f>IF(AND(E12:E14),"","【入力エラー】[入力1]の値を変更してください。")</f>
        <v/>
      </c>
    </row>
    <row r="9" spans="1:39" ht="20.25" customHeight="1">
      <c r="E9" s="31"/>
      <c r="F9" s="31"/>
      <c r="I9" t="s">
        <v>508</v>
      </c>
      <c r="X9" t="s">
        <v>520</v>
      </c>
      <c r="AM9" t="s">
        <v>521</v>
      </c>
    </row>
    <row r="10" spans="1:39" ht="20.25" customHeight="1">
      <c r="E10" s="31"/>
      <c r="F10" s="134" t="s">
        <v>524</v>
      </c>
    </row>
    <row r="11" spans="1:39" ht="20.25" customHeight="1">
      <c r="E11" s="36" t="s">
        <v>544</v>
      </c>
      <c r="F11" s="36" t="s">
        <v>79</v>
      </c>
    </row>
    <row r="12" spans="1:39" ht="20.25" customHeight="1">
      <c r="D12" s="75" t="s">
        <v>475</v>
      </c>
      <c r="E12" s="131" t="b">
        <f>A!AD8</f>
        <v>1</v>
      </c>
      <c r="F12" s="133">
        <f>A!AE8</f>
        <v>34</v>
      </c>
    </row>
    <row r="13" spans="1:39" ht="20.25" customHeight="1">
      <c r="D13" s="75" t="s">
        <v>476</v>
      </c>
      <c r="E13" s="132" t="b">
        <f>A!AD9</f>
        <v>1</v>
      </c>
      <c r="F13" s="133">
        <f>A!AE9</f>
        <v>43</v>
      </c>
    </row>
    <row r="14" spans="1:39" ht="20.25" customHeight="1">
      <c r="D14" s="75" t="s">
        <v>477</v>
      </c>
      <c r="E14" s="132" t="b">
        <f>A!AD10</f>
        <v>1</v>
      </c>
      <c r="F14" s="133">
        <f>A!AE10</f>
        <v>32</v>
      </c>
    </row>
  </sheetData>
  <sheetProtection algorithmName="SHA-512" hashValue="p6xNVmbJhdLLkzyEX8o3l9Bl2Z5KBw+Li10wafgwiI+CqsZ3RdebKTQ3uQsjrZRNw82l6Is5//gYzz4rq/L7Pg==" saltValue="f4u8zz7UmHAhptftPj9auQ==" spinCount="100000" sheet="1" objects="1" scenarios="1"/>
  <phoneticPr fontId="2"/>
  <conditionalFormatting sqref="E12:E14">
    <cfRule type="cellIs" dxfId="2" priority="1" operator="equal">
      <formula>FALSE</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06003-BCBD-4312-8D7B-73FD4CD47532}">
  <sheetPr codeName="Sheet22">
    <tabColor rgb="FFFFC000"/>
  </sheetPr>
  <dimension ref="A1:C22"/>
  <sheetViews>
    <sheetView showGridLines="0" showRowColHeaders="0" workbookViewId="0">
      <pane ySplit="11" topLeftCell="A12" activePane="bottomLeft" state="frozen"/>
      <selection activeCell="H29" sqref="H29:H30"/>
      <selection pane="bottomLeft" activeCell="A12" sqref="A12"/>
    </sheetView>
  </sheetViews>
  <sheetFormatPr defaultColWidth="3.375" defaultRowHeight="20.25" customHeight="1"/>
  <sheetData>
    <row r="1" spans="1:3" s="244" customFormat="1" ht="20.25" customHeight="1">
      <c r="A1" s="243" t="s">
        <v>512</v>
      </c>
    </row>
    <row r="2" spans="1:3" s="244" customFormat="1" ht="30">
      <c r="A2" s="245" t="str">
        <f>"要求された流量・圧力("&amp;MAX('3次式係数計算過程'!AJ13:AJ22)&amp;"点)での軸動力等の計算精度の確認"</f>
        <v>要求された流量・圧力(10点)での軸動力等の計算精度の確認</v>
      </c>
    </row>
    <row r="3" spans="1:3" s="246" customFormat="1" ht="7.5" customHeight="1"/>
    <row r="5" spans="1:3" ht="20.25" customHeight="1">
      <c r="B5" s="70" t="s">
        <v>464</v>
      </c>
    </row>
    <row r="6" spans="1:3" ht="20.25" customHeight="1">
      <c r="B6" s="70"/>
      <c r="C6" t="s">
        <v>548</v>
      </c>
    </row>
    <row r="7" spans="1:3" ht="20.25" customHeight="1">
      <c r="C7" t="s">
        <v>550</v>
      </c>
    </row>
    <row r="8" spans="1:3" ht="20.25" customHeight="1">
      <c r="C8" t="s">
        <v>549</v>
      </c>
    </row>
    <row r="9" spans="1:3" ht="20.25" customHeight="1">
      <c r="C9" t="s">
        <v>547</v>
      </c>
    </row>
    <row r="11" spans="1:3" ht="20.25" customHeight="1">
      <c r="C11" t="str">
        <f>"※要求条件の流量は「3次式係数計算過程」シートの「"&amp;'3次式係数計算過程'!H5&amp;" -＞ "&amp;'3次式係数計算過程'!AH6&amp;"」の表中の「"&amp;'3次式係数計算過程'!AN8&amp;'3次式係数計算過程'!AN9&amp;'3次式係数計算過程'!AN10&amp;"」である。"</f>
        <v>※要求条件の流量は「3次式係数計算過程」シートの「出力値の計算過程 -＞ （3/3）二次側流量率とポンプ軸動力比の関係式導出」の表中の「運転ポンプ1台当たりの流量」である。</v>
      </c>
    </row>
    <row r="12" spans="1:3" ht="20.25" customHeight="1">
      <c r="C12" t="s">
        <v>521</v>
      </c>
    </row>
    <row r="22" spans="3:3" ht="20.25" customHeight="1">
      <c r="C22" t="s">
        <v>520</v>
      </c>
    </row>
  </sheetData>
  <sheetProtection algorithmName="SHA-512" hashValue="Gr9ibWFBMOo+yZ8KKgjc0KcoRJRsIFIKwQxnrvNA/ETK4I5MG0wrGPP8INEl7ThaQhOp2ca6TIKybt+PRMi40A==" saltValue="oLcsXbzMuK8LIMCiLuVieQ==" spinCount="100000" sheet="1" objects="1" scenarios="1"/>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78CFA-39ED-49CB-A8AE-FF905FC22E81}">
  <sheetPr codeName="Sheet17">
    <tabColor rgb="FF0070C0"/>
  </sheetPr>
  <dimension ref="A1:CT41"/>
  <sheetViews>
    <sheetView showGridLines="0" showRowColHeaders="0" view="pageBreakPreview" zoomScale="85" zoomScaleNormal="100" zoomScaleSheetLayoutView="85" workbookViewId="0"/>
  </sheetViews>
  <sheetFormatPr defaultColWidth="3.375" defaultRowHeight="20.25" customHeight="1"/>
  <cols>
    <col min="3" max="26" width="3.375" customWidth="1"/>
    <col min="75" max="75" width="3.75" customWidth="1"/>
  </cols>
  <sheetData>
    <row r="1" spans="1:98" s="81" customFormat="1" ht="20.25" customHeight="1">
      <c r="A1" s="81" t="s">
        <v>510</v>
      </c>
    </row>
    <row r="2" spans="1:98" s="81" customFormat="1" ht="30">
      <c r="A2" s="82" t="s">
        <v>622</v>
      </c>
    </row>
    <row r="3" spans="1:98" s="83" customFormat="1" ht="7.5" customHeight="1"/>
    <row r="5" spans="1:98" ht="20.25" customHeight="1" thickBot="1">
      <c r="C5">
        <v>1</v>
      </c>
      <c r="D5">
        <v>2</v>
      </c>
      <c r="E5">
        <v>3</v>
      </c>
      <c r="F5">
        <v>4</v>
      </c>
      <c r="G5">
        <v>5</v>
      </c>
      <c r="H5">
        <v>6</v>
      </c>
      <c r="I5">
        <v>7</v>
      </c>
      <c r="J5">
        <v>8</v>
      </c>
      <c r="K5">
        <v>9</v>
      </c>
      <c r="L5">
        <v>10</v>
      </c>
      <c r="M5">
        <v>11</v>
      </c>
      <c r="N5">
        <v>12</v>
      </c>
      <c r="O5">
        <v>13</v>
      </c>
      <c r="P5">
        <v>14</v>
      </c>
      <c r="Q5">
        <v>15</v>
      </c>
      <c r="R5">
        <v>16</v>
      </c>
      <c r="S5">
        <v>17</v>
      </c>
      <c r="T5">
        <v>18</v>
      </c>
      <c r="U5">
        <v>19</v>
      </c>
      <c r="V5">
        <v>20</v>
      </c>
      <c r="W5">
        <v>21</v>
      </c>
      <c r="X5">
        <v>22</v>
      </c>
      <c r="Y5">
        <v>23</v>
      </c>
      <c r="Z5">
        <v>24</v>
      </c>
      <c r="AA5">
        <v>1</v>
      </c>
      <c r="AB5">
        <v>2</v>
      </c>
      <c r="AC5">
        <v>3</v>
      </c>
      <c r="AD5">
        <v>4</v>
      </c>
      <c r="AE5">
        <v>5</v>
      </c>
      <c r="AF5">
        <v>6</v>
      </c>
      <c r="AG5">
        <v>7</v>
      </c>
      <c r="AH5">
        <v>8</v>
      </c>
      <c r="AI5">
        <v>9</v>
      </c>
      <c r="AJ5">
        <v>10</v>
      </c>
      <c r="AK5">
        <v>11</v>
      </c>
      <c r="AL5">
        <v>12</v>
      </c>
      <c r="AM5">
        <v>13</v>
      </c>
      <c r="AN5">
        <v>14</v>
      </c>
      <c r="AO5">
        <v>15</v>
      </c>
      <c r="AP5">
        <v>16</v>
      </c>
      <c r="AQ5">
        <v>17</v>
      </c>
      <c r="AR5">
        <v>18</v>
      </c>
      <c r="AS5">
        <v>19</v>
      </c>
      <c r="AT5">
        <v>20</v>
      </c>
      <c r="AU5">
        <v>21</v>
      </c>
      <c r="AV5">
        <v>22</v>
      </c>
      <c r="AW5">
        <v>23</v>
      </c>
      <c r="AX5">
        <v>24</v>
      </c>
      <c r="AY5">
        <v>1</v>
      </c>
      <c r="AZ5">
        <v>2</v>
      </c>
      <c r="BA5">
        <v>3</v>
      </c>
      <c r="BB5">
        <v>4</v>
      </c>
      <c r="BC5">
        <v>5</v>
      </c>
      <c r="BD5">
        <v>6</v>
      </c>
      <c r="BE5">
        <v>7</v>
      </c>
      <c r="BF5">
        <v>8</v>
      </c>
      <c r="BG5">
        <v>9</v>
      </c>
      <c r="BH5">
        <v>10</v>
      </c>
      <c r="BI5">
        <v>11</v>
      </c>
      <c r="BJ5">
        <v>12</v>
      </c>
      <c r="BK5">
        <v>13</v>
      </c>
      <c r="BL5">
        <v>14</v>
      </c>
      <c r="BM5">
        <v>15</v>
      </c>
      <c r="BN5">
        <v>16</v>
      </c>
      <c r="BO5">
        <v>17</v>
      </c>
      <c r="BP5">
        <v>18</v>
      </c>
      <c r="BQ5">
        <v>19</v>
      </c>
      <c r="BR5">
        <v>20</v>
      </c>
      <c r="BS5">
        <v>21</v>
      </c>
      <c r="BT5">
        <v>22</v>
      </c>
      <c r="BU5">
        <v>23</v>
      </c>
      <c r="BV5">
        <v>24</v>
      </c>
      <c r="BW5">
        <v>1</v>
      </c>
      <c r="BX5">
        <v>2</v>
      </c>
      <c r="BY5">
        <v>3</v>
      </c>
      <c r="BZ5">
        <v>4</v>
      </c>
      <c r="CA5">
        <v>5</v>
      </c>
      <c r="CB5">
        <v>6</v>
      </c>
      <c r="CC5">
        <v>7</v>
      </c>
      <c r="CD5">
        <v>8</v>
      </c>
      <c r="CE5">
        <v>9</v>
      </c>
      <c r="CF5">
        <v>10</v>
      </c>
      <c r="CG5">
        <v>11</v>
      </c>
      <c r="CH5">
        <v>12</v>
      </c>
      <c r="CI5">
        <v>13</v>
      </c>
      <c r="CJ5">
        <v>14</v>
      </c>
      <c r="CK5">
        <v>15</v>
      </c>
      <c r="CL5">
        <v>16</v>
      </c>
      <c r="CM5">
        <v>17</v>
      </c>
      <c r="CN5">
        <v>18</v>
      </c>
      <c r="CO5">
        <v>19</v>
      </c>
      <c r="CP5">
        <v>20</v>
      </c>
      <c r="CQ5">
        <v>21</v>
      </c>
      <c r="CR5">
        <v>22</v>
      </c>
      <c r="CS5">
        <v>23</v>
      </c>
      <c r="CT5">
        <v>24</v>
      </c>
    </row>
    <row r="6" spans="1:98" ht="20.25" customHeight="1">
      <c r="B6">
        <v>1</v>
      </c>
      <c r="C6" s="316" t="str">
        <f ca="1">"作成日："&amp;TEXT(NOW(),"yyyy年m月d日")</f>
        <v>作成日：2025年1月6日</v>
      </c>
      <c r="D6" s="316"/>
      <c r="E6" s="316"/>
      <c r="F6" s="316"/>
      <c r="G6" s="316"/>
      <c r="H6" s="316"/>
      <c r="I6" s="316"/>
      <c r="J6" s="316"/>
      <c r="K6" s="316"/>
      <c r="L6" s="316"/>
      <c r="M6" s="316"/>
      <c r="N6" s="316"/>
      <c r="O6" s="316"/>
      <c r="P6" s="316"/>
      <c r="Q6" s="316"/>
      <c r="R6" s="316"/>
      <c r="S6" s="316"/>
      <c r="T6" s="316"/>
      <c r="U6" s="316"/>
      <c r="V6" s="316"/>
      <c r="W6" s="316"/>
      <c r="X6" s="316"/>
      <c r="Y6" s="316"/>
      <c r="Z6" s="316"/>
      <c r="AA6" s="359" t="s">
        <v>629</v>
      </c>
      <c r="AB6" s="305"/>
      <c r="AC6" s="305"/>
      <c r="AD6" s="305"/>
      <c r="AE6" s="305"/>
      <c r="AF6" s="305"/>
      <c r="AG6" s="305"/>
      <c r="AH6" s="305"/>
      <c r="AI6" s="305"/>
      <c r="AJ6" s="305"/>
      <c r="AK6" s="305"/>
      <c r="AL6" s="305"/>
      <c r="AM6" s="305"/>
      <c r="AN6" s="305"/>
      <c r="AO6" s="305"/>
      <c r="AP6" s="305"/>
      <c r="AQ6" s="305"/>
      <c r="AR6" s="305"/>
      <c r="AS6" s="305"/>
      <c r="AT6" s="305"/>
      <c r="AU6" s="305"/>
      <c r="AV6" s="305"/>
      <c r="AW6" s="305"/>
      <c r="AX6" s="332"/>
      <c r="AY6" s="304" t="s">
        <v>491</v>
      </c>
      <c r="AZ6" s="305"/>
      <c r="BA6" s="305"/>
      <c r="BB6" s="305"/>
      <c r="BC6" s="305"/>
      <c r="BD6" s="305"/>
      <c r="BE6" s="305"/>
      <c r="BF6" s="305"/>
      <c r="BG6" s="305"/>
      <c r="BH6" s="305"/>
      <c r="BI6" s="305"/>
      <c r="BJ6" s="305"/>
      <c r="BK6" s="305"/>
      <c r="BL6" s="305"/>
      <c r="BM6" s="305"/>
      <c r="BN6" s="305"/>
      <c r="BO6" s="305"/>
      <c r="BP6" s="305"/>
      <c r="BQ6" s="305"/>
      <c r="BR6" s="305"/>
      <c r="BS6" s="305"/>
      <c r="BT6" s="305"/>
      <c r="BU6" s="305"/>
      <c r="BV6" s="332"/>
      <c r="BW6" s="366" t="s">
        <v>645</v>
      </c>
      <c r="BX6" s="367"/>
      <c r="BY6" s="367"/>
      <c r="BZ6" s="367"/>
      <c r="CA6" s="367"/>
      <c r="CB6" s="367"/>
      <c r="CC6" s="367"/>
      <c r="CD6" s="367"/>
      <c r="CE6" s="367"/>
      <c r="CF6" s="367"/>
      <c r="CG6" s="367"/>
      <c r="CH6" s="367"/>
      <c r="CI6" s="367"/>
      <c r="CJ6" s="367"/>
      <c r="CK6" s="367"/>
      <c r="CL6" s="367"/>
      <c r="CM6" s="367"/>
      <c r="CN6" s="367"/>
      <c r="CO6" s="367"/>
      <c r="CP6" s="367"/>
      <c r="CQ6" s="367"/>
      <c r="CR6" s="367"/>
      <c r="CS6" s="367"/>
      <c r="CT6" s="368"/>
    </row>
    <row r="7" spans="1:98" ht="20.25" customHeight="1">
      <c r="B7">
        <v>2</v>
      </c>
      <c r="C7" s="317" t="s">
        <v>679</v>
      </c>
      <c r="D7" s="317"/>
      <c r="E7" s="317"/>
      <c r="F7" s="317"/>
      <c r="G7" s="317"/>
      <c r="H7" s="317"/>
      <c r="I7" s="317"/>
      <c r="J7" s="317"/>
      <c r="K7" s="317"/>
      <c r="L7" s="317"/>
      <c r="M7" s="317"/>
      <c r="N7" s="317"/>
      <c r="O7" s="317"/>
      <c r="P7" s="317"/>
      <c r="Q7" s="317"/>
      <c r="R7" s="317"/>
      <c r="S7" s="317"/>
      <c r="T7" s="317"/>
      <c r="U7" s="317"/>
      <c r="V7" s="317"/>
      <c r="W7" s="317"/>
      <c r="X7" s="317"/>
      <c r="Y7" s="317"/>
      <c r="Z7" s="317"/>
      <c r="AA7" s="306"/>
      <c r="AB7" s="307"/>
      <c r="AC7" s="307"/>
      <c r="AD7" s="307"/>
      <c r="AE7" s="307"/>
      <c r="AF7" s="307"/>
      <c r="AG7" s="307"/>
      <c r="AH7" s="307"/>
      <c r="AI7" s="307"/>
      <c r="AJ7" s="307"/>
      <c r="AK7" s="307"/>
      <c r="AL7" s="307"/>
      <c r="AM7" s="307"/>
      <c r="AN7" s="307"/>
      <c r="AO7" s="307"/>
      <c r="AP7" s="307"/>
      <c r="AQ7" s="307"/>
      <c r="AR7" s="307"/>
      <c r="AS7" s="307"/>
      <c r="AT7" s="307"/>
      <c r="AU7" s="307"/>
      <c r="AV7" s="307"/>
      <c r="AW7" s="307"/>
      <c r="AX7" s="324"/>
      <c r="AY7" s="147"/>
      <c r="BV7" s="146"/>
      <c r="BW7" s="298" t="s">
        <v>429</v>
      </c>
      <c r="BX7" s="346"/>
      <c r="BY7" s="347"/>
      <c r="BZ7" s="356"/>
      <c r="CA7" s="347"/>
      <c r="CB7" s="347"/>
      <c r="CC7" s="356"/>
      <c r="CD7" s="291" t="s">
        <v>437</v>
      </c>
      <c r="CE7" s="287"/>
      <c r="CF7" s="291" t="s">
        <v>445</v>
      </c>
      <c r="CG7" s="287"/>
      <c r="CH7" s="288"/>
      <c r="CI7" s="291" t="s">
        <v>441</v>
      </c>
      <c r="CJ7" s="287"/>
      <c r="CK7" s="288"/>
      <c r="CL7" s="291" t="s">
        <v>445</v>
      </c>
      <c r="CM7" s="287"/>
      <c r="CN7" s="288"/>
      <c r="CO7" s="346"/>
      <c r="CP7" s="347"/>
      <c r="CQ7" s="356"/>
      <c r="CR7" s="347"/>
      <c r="CS7" s="347"/>
      <c r="CT7" s="357"/>
    </row>
    <row r="8" spans="1:98" ht="20.25" customHeight="1" thickBot="1">
      <c r="B8">
        <v>3</v>
      </c>
      <c r="C8" s="318"/>
      <c r="D8" s="318"/>
      <c r="E8" s="318"/>
      <c r="F8" s="318"/>
      <c r="G8" s="318"/>
      <c r="H8" s="318"/>
      <c r="I8" s="318"/>
      <c r="J8" s="318"/>
      <c r="K8" s="318"/>
      <c r="L8" s="318"/>
      <c r="M8" s="318"/>
      <c r="N8" s="318"/>
      <c r="O8" s="318"/>
      <c r="P8" s="318"/>
      <c r="Q8" s="318"/>
      <c r="R8" s="318"/>
      <c r="S8" s="318"/>
      <c r="T8" s="318"/>
      <c r="U8" s="318"/>
      <c r="V8" s="318"/>
      <c r="W8" s="318"/>
      <c r="X8" s="318"/>
      <c r="Y8" s="318"/>
      <c r="Z8" s="318"/>
      <c r="AA8" s="360"/>
      <c r="AB8" s="361"/>
      <c r="AC8" s="361"/>
      <c r="AD8" s="361"/>
      <c r="AE8" s="361"/>
      <c r="AF8" s="361"/>
      <c r="AG8" s="361"/>
      <c r="AH8" s="361"/>
      <c r="AI8" s="361"/>
      <c r="AJ8" s="361"/>
      <c r="AK8" s="361"/>
      <c r="AL8" s="361"/>
      <c r="AM8" s="361"/>
      <c r="AN8" s="361"/>
      <c r="AO8" s="361"/>
      <c r="AP8" s="361"/>
      <c r="AQ8" s="361"/>
      <c r="AR8" s="361"/>
      <c r="AS8" s="361"/>
      <c r="AT8" s="361"/>
      <c r="AU8" s="361"/>
      <c r="AV8" s="361"/>
      <c r="AW8" s="361"/>
      <c r="AX8" s="362"/>
      <c r="AY8" s="147"/>
      <c r="BV8" s="146"/>
      <c r="BW8" s="299"/>
      <c r="BX8" s="291" t="s">
        <v>431</v>
      </c>
      <c r="BY8" s="287"/>
      <c r="BZ8" s="288"/>
      <c r="CA8" s="287" t="s">
        <v>431</v>
      </c>
      <c r="CB8" s="287"/>
      <c r="CC8" s="288"/>
      <c r="CD8" s="291" t="s">
        <v>436</v>
      </c>
      <c r="CE8" s="287"/>
      <c r="CF8" s="291" t="s">
        <v>444</v>
      </c>
      <c r="CG8" s="287"/>
      <c r="CH8" s="288"/>
      <c r="CI8" s="291" t="s">
        <v>440</v>
      </c>
      <c r="CJ8" s="287"/>
      <c r="CK8" s="288"/>
      <c r="CL8" s="291" t="s">
        <v>444</v>
      </c>
      <c r="CM8" s="287"/>
      <c r="CN8" s="288"/>
      <c r="CO8" s="291" t="s">
        <v>453</v>
      </c>
      <c r="CP8" s="287"/>
      <c r="CQ8" s="288"/>
      <c r="CR8" s="287" t="s">
        <v>631</v>
      </c>
      <c r="CS8" s="287"/>
      <c r="CT8" s="293"/>
    </row>
    <row r="9" spans="1:98" ht="20.25" customHeight="1">
      <c r="B9">
        <v>4</v>
      </c>
      <c r="C9" t="str">
        <f>使い方!A1&amp;"("&amp;使い方!A2&amp;")"</f>
        <v>secondary_pump(ver. 1.0.0)</v>
      </c>
      <c r="AA9" s="348" t="s">
        <v>475</v>
      </c>
      <c r="AB9" s="287"/>
      <c r="AC9" s="287"/>
      <c r="AD9" s="287"/>
      <c r="AE9" s="287"/>
      <c r="AF9" s="124"/>
      <c r="AX9" s="146"/>
      <c r="AY9" s="147"/>
      <c r="BV9" s="146"/>
      <c r="BW9" s="299"/>
      <c r="BX9" s="291" t="s">
        <v>2</v>
      </c>
      <c r="BY9" s="287"/>
      <c r="BZ9" s="288"/>
      <c r="CA9" s="287" t="s">
        <v>432</v>
      </c>
      <c r="CB9" s="287"/>
      <c r="CC9" s="288"/>
      <c r="CD9" s="291" t="s">
        <v>435</v>
      </c>
      <c r="CE9" s="287"/>
      <c r="CF9" s="291" t="s">
        <v>443</v>
      </c>
      <c r="CG9" s="287"/>
      <c r="CH9" s="288"/>
      <c r="CI9" s="291" t="s">
        <v>494</v>
      </c>
      <c r="CJ9" s="287"/>
      <c r="CK9" s="288"/>
      <c r="CL9" s="291" t="s">
        <v>651</v>
      </c>
      <c r="CM9" s="287"/>
      <c r="CN9" s="288"/>
      <c r="CO9" s="291" t="s">
        <v>640</v>
      </c>
      <c r="CP9" s="287"/>
      <c r="CQ9" s="288"/>
      <c r="CR9" s="287" t="s">
        <v>450</v>
      </c>
      <c r="CS9" s="287"/>
      <c r="CT9" s="293"/>
    </row>
    <row r="10" spans="1:98" ht="20.25" customHeight="1" thickBot="1">
      <c r="B10">
        <v>5</v>
      </c>
      <c r="AA10" s="348"/>
      <c r="AB10" s="287"/>
      <c r="AC10" s="287"/>
      <c r="AD10" s="287"/>
      <c r="AE10" s="287"/>
      <c r="AF10" s="124"/>
      <c r="AX10" s="146"/>
      <c r="AY10" s="147"/>
      <c r="BV10" s="146"/>
      <c r="BW10" s="299"/>
      <c r="BX10" s="291"/>
      <c r="BY10" s="287"/>
      <c r="BZ10" s="288"/>
      <c r="CA10" s="287"/>
      <c r="CB10" s="287"/>
      <c r="CC10" s="288"/>
      <c r="CD10" s="291"/>
      <c r="CE10" s="287"/>
      <c r="CF10" s="291"/>
      <c r="CG10" s="287"/>
      <c r="CH10" s="288"/>
      <c r="CI10" s="291"/>
      <c r="CJ10" s="287"/>
      <c r="CK10" s="288"/>
      <c r="CL10" s="291"/>
      <c r="CM10" s="287"/>
      <c r="CN10" s="288"/>
      <c r="CO10" s="291"/>
      <c r="CP10" s="287"/>
      <c r="CQ10" s="288"/>
      <c r="CR10" s="287"/>
      <c r="CS10" s="287"/>
      <c r="CT10" s="293"/>
    </row>
    <row r="11" spans="1:98" ht="20.25" customHeight="1">
      <c r="B11">
        <v>6</v>
      </c>
      <c r="C11" s="304" t="s">
        <v>487</v>
      </c>
      <c r="D11" s="305"/>
      <c r="E11" s="305"/>
      <c r="F11" s="305"/>
      <c r="G11" s="305"/>
      <c r="H11" s="305"/>
      <c r="I11" s="305"/>
      <c r="J11" s="310" t="str">
        <f>入力0!E7</f>
        <v>〇×△ビル</v>
      </c>
      <c r="K11" s="310"/>
      <c r="L11" s="310"/>
      <c r="M11" s="310"/>
      <c r="N11" s="310"/>
      <c r="O11" s="310"/>
      <c r="P11" s="310"/>
      <c r="Q11" s="310"/>
      <c r="R11" s="310"/>
      <c r="S11" s="310"/>
      <c r="T11" s="310"/>
      <c r="U11" s="310"/>
      <c r="V11" s="310"/>
      <c r="W11" s="310"/>
      <c r="X11" s="310"/>
      <c r="Y11" s="310"/>
      <c r="Z11" s="311"/>
      <c r="AA11" s="348"/>
      <c r="AB11" s="287"/>
      <c r="AC11" s="287"/>
      <c r="AD11" s="287"/>
      <c r="AE11" s="287"/>
      <c r="AF11" s="124"/>
      <c r="AX11" s="146"/>
      <c r="AY11" s="147"/>
      <c r="BV11" s="146"/>
      <c r="BW11" s="300"/>
      <c r="BX11" s="291" t="s">
        <v>501</v>
      </c>
      <c r="BY11" s="287"/>
      <c r="BZ11" s="288"/>
      <c r="CA11" s="287" t="s">
        <v>50</v>
      </c>
      <c r="CB11" s="287"/>
      <c r="CC11" s="288"/>
      <c r="CD11" s="295" t="s">
        <v>1</v>
      </c>
      <c r="CE11" s="296"/>
      <c r="CF11" s="295" t="s">
        <v>438</v>
      </c>
      <c r="CG11" s="296"/>
      <c r="CH11" s="297"/>
      <c r="CI11" s="295" t="s">
        <v>45</v>
      </c>
      <c r="CJ11" s="296"/>
      <c r="CK11" s="297"/>
      <c r="CL11" s="295" t="s">
        <v>463</v>
      </c>
      <c r="CM11" s="296"/>
      <c r="CN11" s="297"/>
      <c r="CO11" s="291" t="s">
        <v>503</v>
      </c>
      <c r="CP11" s="287"/>
      <c r="CQ11" s="288"/>
      <c r="CR11" s="287" t="s">
        <v>50</v>
      </c>
      <c r="CS11" s="287"/>
      <c r="CT11" s="293"/>
    </row>
    <row r="12" spans="1:98" ht="20.25" customHeight="1">
      <c r="B12">
        <v>7</v>
      </c>
      <c r="C12" s="306" t="s">
        <v>488</v>
      </c>
      <c r="D12" s="307"/>
      <c r="E12" s="307"/>
      <c r="F12" s="307"/>
      <c r="G12" s="307"/>
      <c r="H12" s="307"/>
      <c r="I12" s="307"/>
      <c r="J12" s="312" t="str">
        <f>入力0!E8</f>
        <v>〇×市〇×町A-B-C</v>
      </c>
      <c r="K12" s="312"/>
      <c r="L12" s="312"/>
      <c r="M12" s="312"/>
      <c r="N12" s="312"/>
      <c r="O12" s="312"/>
      <c r="P12" s="312"/>
      <c r="Q12" s="312"/>
      <c r="R12" s="312"/>
      <c r="S12" s="312"/>
      <c r="T12" s="312"/>
      <c r="U12" s="312"/>
      <c r="V12" s="312"/>
      <c r="W12" s="312"/>
      <c r="X12" s="312"/>
      <c r="Y12" s="312"/>
      <c r="Z12" s="313"/>
      <c r="AA12" s="348"/>
      <c r="AB12" s="287"/>
      <c r="AC12" s="287"/>
      <c r="AD12" s="287"/>
      <c r="AE12" s="287"/>
      <c r="AF12" s="124"/>
      <c r="AX12" s="146"/>
      <c r="AY12" s="147"/>
      <c r="BV12" s="146"/>
      <c r="BW12" s="144" cm="1">
        <f t="array" ref="BW12:BW22">_xlfn.SEQUENCE(11)</f>
        <v>1</v>
      </c>
      <c r="BX12" s="284">
        <f>'3次式係数計算過程'!AK30</f>
        <v>4172.7272727272702</v>
      </c>
      <c r="BY12" s="284"/>
      <c r="BZ12" s="284"/>
      <c r="CA12" s="289">
        <f>'3次式係数計算過程'!AL30</f>
        <v>9.0909090909090898E-2</v>
      </c>
      <c r="CB12" s="290"/>
      <c r="CC12" s="290"/>
      <c r="CD12" s="301">
        <f>'3次式係数計算過程'!AM30</f>
        <v>1</v>
      </c>
      <c r="CE12" s="297"/>
      <c r="CF12" s="302">
        <f>'3次式係数計算過程'!AN30</f>
        <v>4172.7272727272702</v>
      </c>
      <c r="CG12" s="302"/>
      <c r="CH12" s="302"/>
      <c r="CI12" s="302">
        <f>'3次式係数計算過程'!AO30</f>
        <v>14.967272727272725</v>
      </c>
      <c r="CJ12" s="302"/>
      <c r="CK12" s="302"/>
      <c r="CL12" s="303">
        <f>'3次式係数計算過程'!AP30</f>
        <v>0.73954878155932247</v>
      </c>
      <c r="CM12" s="302"/>
      <c r="CN12" s="302"/>
      <c r="CO12" s="284">
        <f>'3次式係数計算過程'!AS30</f>
        <v>0.73954878155932247</v>
      </c>
      <c r="CP12" s="284"/>
      <c r="CQ12" s="284"/>
      <c r="CR12" s="283">
        <f>'3次式係数計算過程'!AT30</f>
        <v>6.7231707414483859E-3</v>
      </c>
      <c r="CS12" s="284"/>
      <c r="CT12" s="292"/>
    </row>
    <row r="13" spans="1:98" ht="20.25" customHeight="1" thickBot="1">
      <c r="B13">
        <v>8</v>
      </c>
      <c r="C13" s="308" t="str">
        <f>入力0!D12</f>
        <v>2次冷温水配管システムの名称</v>
      </c>
      <c r="D13" s="309"/>
      <c r="E13" s="309"/>
      <c r="F13" s="309"/>
      <c r="G13" s="309"/>
      <c r="H13" s="309"/>
      <c r="I13" s="309"/>
      <c r="J13" s="314" t="str">
        <f>入力0!E12</f>
        <v>システム〇×△</v>
      </c>
      <c r="K13" s="314"/>
      <c r="L13" s="314"/>
      <c r="M13" s="314"/>
      <c r="N13" s="314"/>
      <c r="O13" s="314"/>
      <c r="P13" s="314"/>
      <c r="Q13" s="314"/>
      <c r="R13" s="314"/>
      <c r="S13" s="314"/>
      <c r="T13" s="314"/>
      <c r="U13" s="314"/>
      <c r="V13" s="314"/>
      <c r="W13" s="314"/>
      <c r="X13" s="314"/>
      <c r="Y13" s="314"/>
      <c r="Z13" s="315"/>
      <c r="AA13" s="348"/>
      <c r="AB13" s="287"/>
      <c r="AC13" s="287"/>
      <c r="AD13" s="287"/>
      <c r="AE13" s="287"/>
      <c r="AF13" s="124"/>
      <c r="AX13" s="146"/>
      <c r="AY13" s="152"/>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50"/>
      <c r="BW13" s="144">
        <v>2</v>
      </c>
      <c r="BX13" s="284">
        <f>'3次式係数計算過程'!AK31</f>
        <v>8345.4545454545496</v>
      </c>
      <c r="BY13" s="284"/>
      <c r="BZ13" s="284"/>
      <c r="CA13" s="283">
        <f>'3次式係数計算過程'!AL31</f>
        <v>0.18181818181818199</v>
      </c>
      <c r="CB13" s="284"/>
      <c r="CC13" s="284"/>
      <c r="CD13" s="339">
        <f>'3次式係数計算過程'!AM31</f>
        <v>1</v>
      </c>
      <c r="CE13" s="283"/>
      <c r="CF13" s="284">
        <f>'3次式係数計算過程'!AN31</f>
        <v>8345.4545454545496</v>
      </c>
      <c r="CG13" s="284"/>
      <c r="CH13" s="284"/>
      <c r="CI13" s="284">
        <f>'3次式係数計算過程'!AO31</f>
        <v>29.93454545454545</v>
      </c>
      <c r="CJ13" s="284"/>
      <c r="CK13" s="284"/>
      <c r="CL13" s="284">
        <f>'3次式係数計算過程'!AP31</f>
        <v>1.4790975631186449</v>
      </c>
      <c r="CM13" s="284"/>
      <c r="CN13" s="284"/>
      <c r="CO13" s="284">
        <f>'3次式係数計算過程'!AS31</f>
        <v>1.4790975631186449</v>
      </c>
      <c r="CP13" s="284"/>
      <c r="CQ13" s="284"/>
      <c r="CR13" s="283">
        <f>'3次式係数計算過程'!AT31</f>
        <v>1.3446341482896772E-2</v>
      </c>
      <c r="CS13" s="284"/>
      <c r="CT13" s="292"/>
    </row>
    <row r="14" spans="1:98" ht="20.25" customHeight="1" thickBot="1">
      <c r="B14">
        <v>9</v>
      </c>
      <c r="AA14" s="348"/>
      <c r="AB14" s="287"/>
      <c r="AC14" s="287"/>
      <c r="AD14" s="287"/>
      <c r="AE14" s="287"/>
      <c r="AF14" s="124"/>
      <c r="AX14" s="146"/>
      <c r="BW14" s="144">
        <v>3</v>
      </c>
      <c r="BX14" s="284">
        <f>'3次式係数計算過程'!AK32</f>
        <v>12518.1818181818</v>
      </c>
      <c r="BY14" s="284"/>
      <c r="BZ14" s="284"/>
      <c r="CA14" s="283">
        <f>'3次式係数計算過程'!AL32</f>
        <v>0.27272727272727298</v>
      </c>
      <c r="CB14" s="284"/>
      <c r="CC14" s="284"/>
      <c r="CD14" s="339">
        <f>'3次式係数計算過程'!AM32</f>
        <v>2</v>
      </c>
      <c r="CE14" s="283"/>
      <c r="CF14" s="284">
        <f>'3次式係数計算過程'!AN32</f>
        <v>6259.0909090908999</v>
      </c>
      <c r="CG14" s="284"/>
      <c r="CH14" s="284"/>
      <c r="CI14" s="284">
        <f>'3次式係数計算過程'!AO32</f>
        <v>44.901818181818179</v>
      </c>
      <c r="CJ14" s="284"/>
      <c r="CK14" s="284"/>
      <c r="CL14" s="284">
        <f>'3次式係数計算過程'!AP32</f>
        <v>2.1018511085432179</v>
      </c>
      <c r="CM14" s="284"/>
      <c r="CN14" s="284"/>
      <c r="CO14" s="284">
        <f>'3次式係数計算過程'!AS32</f>
        <v>4.2037022170864358</v>
      </c>
      <c r="CP14" s="284"/>
      <c r="CQ14" s="284"/>
      <c r="CR14" s="283">
        <f>'3次式係数計算過程'!AT32</f>
        <v>3.8215474700785783E-2</v>
      </c>
      <c r="CS14" s="284"/>
      <c r="CT14" s="292"/>
    </row>
    <row r="15" spans="1:98" ht="20.25" customHeight="1">
      <c r="B15">
        <v>10</v>
      </c>
      <c r="C15" s="321" t="s">
        <v>489</v>
      </c>
      <c r="D15" s="322"/>
      <c r="E15" s="322"/>
      <c r="F15" s="322"/>
      <c r="G15" s="322"/>
      <c r="H15" s="322"/>
      <c r="I15" s="322"/>
      <c r="J15" s="322"/>
      <c r="K15" s="322"/>
      <c r="L15" s="322"/>
      <c r="M15" s="322"/>
      <c r="N15" s="322"/>
      <c r="O15" s="322"/>
      <c r="P15" s="322"/>
      <c r="Q15" s="322"/>
      <c r="R15" s="322"/>
      <c r="S15" s="322"/>
      <c r="T15" s="322"/>
      <c r="U15" s="322"/>
      <c r="V15" s="322"/>
      <c r="W15" s="322"/>
      <c r="X15" s="322"/>
      <c r="Y15" s="322"/>
      <c r="Z15" s="323"/>
      <c r="AA15" s="348"/>
      <c r="AB15" s="287"/>
      <c r="AC15" s="287"/>
      <c r="AD15" s="287"/>
      <c r="AE15" s="287"/>
      <c r="AF15" s="124"/>
      <c r="AX15" s="146"/>
      <c r="AY15" s="353" t="s">
        <v>646</v>
      </c>
      <c r="AZ15" s="354"/>
      <c r="BA15" s="354"/>
      <c r="BB15" s="354"/>
      <c r="BC15" s="354"/>
      <c r="BD15" s="354"/>
      <c r="BE15" s="354"/>
      <c r="BF15" s="354"/>
      <c r="BG15" s="354"/>
      <c r="BH15" s="354"/>
      <c r="BI15" s="354"/>
      <c r="BJ15" s="354"/>
      <c r="BK15" s="354"/>
      <c r="BL15" s="354"/>
      <c r="BM15" s="354"/>
      <c r="BN15" s="354"/>
      <c r="BO15" s="354"/>
      <c r="BP15" s="354"/>
      <c r="BQ15" s="354"/>
      <c r="BR15" s="354"/>
      <c r="BS15" s="354"/>
      <c r="BT15" s="354"/>
      <c r="BU15" s="354"/>
      <c r="BV15" s="355"/>
      <c r="BW15" s="144">
        <v>4</v>
      </c>
      <c r="BX15" s="284">
        <f>'3次式係数計算過程'!AK33</f>
        <v>16690.909090909099</v>
      </c>
      <c r="BY15" s="284"/>
      <c r="BZ15" s="284"/>
      <c r="CA15" s="283">
        <f>'3次式係数計算過程'!AL33</f>
        <v>0.36363636363636398</v>
      </c>
      <c r="CB15" s="284"/>
      <c r="CC15" s="284"/>
      <c r="CD15" s="339">
        <f>'3次式係数計算過程'!AM33</f>
        <v>2</v>
      </c>
      <c r="CE15" s="283"/>
      <c r="CF15" s="284">
        <f>'3次式係数計算過程'!AN33</f>
        <v>8345.4545454545496</v>
      </c>
      <c r="CG15" s="284"/>
      <c r="CH15" s="284"/>
      <c r="CI15" s="284">
        <f>'3次式係数計算過程'!AO33</f>
        <v>59.8690909090909</v>
      </c>
      <c r="CJ15" s="284"/>
      <c r="CK15" s="284"/>
      <c r="CL15" s="284">
        <f>'3次式係数計算過程'!AP33</f>
        <v>3.3634130862776925</v>
      </c>
      <c r="CM15" s="284"/>
      <c r="CN15" s="284"/>
      <c r="CO15" s="284">
        <f>'3次式係数計算過程'!AS33</f>
        <v>6.7268261725553851</v>
      </c>
      <c r="CP15" s="284"/>
      <c r="CQ15" s="284"/>
      <c r="CR15" s="283">
        <f>'3次式係数計算過程'!AT33</f>
        <v>6.1152965205048954E-2</v>
      </c>
      <c r="CS15" s="284"/>
      <c r="CT15" s="292"/>
    </row>
    <row r="16" spans="1:98" ht="20.25" customHeight="1">
      <c r="B16">
        <v>11</v>
      </c>
      <c r="C16" s="306" t="str">
        <f>'3次式係数計算過程'!D7</f>
        <v>a(3次の係数)</v>
      </c>
      <c r="D16" s="307"/>
      <c r="E16" s="307"/>
      <c r="F16" s="307"/>
      <c r="G16" s="307"/>
      <c r="H16" s="307"/>
      <c r="I16" s="307" t="str">
        <f>'3次式係数計算過程'!D8</f>
        <v>b(2次の係数)</v>
      </c>
      <c r="J16" s="307"/>
      <c r="K16" s="307"/>
      <c r="L16" s="307"/>
      <c r="M16" s="307"/>
      <c r="N16" s="307"/>
      <c r="O16" s="307" t="str">
        <f>'3次式係数計算過程'!D9</f>
        <v>c(1次の係数)</v>
      </c>
      <c r="P16" s="307"/>
      <c r="Q16" s="307"/>
      <c r="R16" s="307"/>
      <c r="S16" s="307"/>
      <c r="T16" s="307"/>
      <c r="U16" s="307" t="str">
        <f>'3次式係数計算過程'!D10</f>
        <v>d(定数項)</v>
      </c>
      <c r="V16" s="307"/>
      <c r="W16" s="307"/>
      <c r="X16" s="307"/>
      <c r="Y16" s="307"/>
      <c r="Z16" s="324"/>
      <c r="AA16" s="348"/>
      <c r="AB16" s="287"/>
      <c r="AC16" s="287"/>
      <c r="AD16" s="287"/>
      <c r="AE16" s="287"/>
      <c r="AF16" s="124"/>
      <c r="AX16" s="146"/>
      <c r="AY16" s="298" t="s">
        <v>429</v>
      </c>
      <c r="AZ16" s="346"/>
      <c r="BA16" s="356"/>
      <c r="BB16" s="346"/>
      <c r="BC16" s="347"/>
      <c r="BD16" s="346" t="s">
        <v>492</v>
      </c>
      <c r="BE16" s="347"/>
      <c r="BF16" s="346" t="s">
        <v>445</v>
      </c>
      <c r="BG16" s="347"/>
      <c r="BH16" s="356"/>
      <c r="BI16" s="346" t="s">
        <v>441</v>
      </c>
      <c r="BJ16" s="347"/>
      <c r="BK16" s="356"/>
      <c r="BL16" s="346" t="s">
        <v>445</v>
      </c>
      <c r="BM16" s="347"/>
      <c r="BN16" s="356"/>
      <c r="BO16" s="346"/>
      <c r="BP16" s="356"/>
      <c r="BQ16" s="346" t="s">
        <v>493</v>
      </c>
      <c r="BR16" s="356"/>
      <c r="BS16" s="346"/>
      <c r="BT16" s="356"/>
      <c r="BU16" s="347" t="s">
        <v>453</v>
      </c>
      <c r="BV16" s="357"/>
      <c r="BW16" s="144">
        <v>5</v>
      </c>
      <c r="BX16" s="284">
        <f>'3次式係数計算過程'!AK34</f>
        <v>20863.6363636364</v>
      </c>
      <c r="BY16" s="284"/>
      <c r="BZ16" s="284"/>
      <c r="CA16" s="283">
        <f>'3次式係数計算過程'!AL34</f>
        <v>0.45454545454545497</v>
      </c>
      <c r="CB16" s="284"/>
      <c r="CC16" s="284"/>
      <c r="CD16" s="339">
        <f>'3次式係数計算過程'!AM34</f>
        <v>3</v>
      </c>
      <c r="CE16" s="283"/>
      <c r="CF16" s="284">
        <f>'3次式係数計算過程'!AN34</f>
        <v>6954.5454545454668</v>
      </c>
      <c r="CG16" s="284"/>
      <c r="CH16" s="284"/>
      <c r="CI16" s="284">
        <f>'3次式係数計算過程'!AO34</f>
        <v>74.836363636363615</v>
      </c>
      <c r="CJ16" s="284"/>
      <c r="CK16" s="284"/>
      <c r="CL16" s="284">
        <f>'3次式係数計算過程'!AP34</f>
        <v>3.6406663619937238</v>
      </c>
      <c r="CM16" s="284"/>
      <c r="CN16" s="284"/>
      <c r="CO16" s="284">
        <f>'3次式係数計算過程'!AS34</f>
        <v>10.921999085981172</v>
      </c>
      <c r="CP16" s="284"/>
      <c r="CQ16" s="284"/>
      <c r="CR16" s="283">
        <f>'3次式係数計算過程'!AT34</f>
        <v>9.9290900781647012E-2</v>
      </c>
      <c r="CS16" s="284"/>
      <c r="CT16" s="292"/>
    </row>
    <row r="17" spans="2:98" ht="20.25" customHeight="1" thickBot="1">
      <c r="B17">
        <v>12</v>
      </c>
      <c r="C17" s="319">
        <f>'3次式係数計算過程'!E7</f>
        <v>-2.6051561000000001E-2</v>
      </c>
      <c r="D17" s="286"/>
      <c r="E17" s="286"/>
      <c r="F17" s="286"/>
      <c r="G17" s="286"/>
      <c r="H17" s="286"/>
      <c r="I17" s="286">
        <f>'3次式係数計算過程'!E8</f>
        <v>0.45723922299999997</v>
      </c>
      <c r="J17" s="286"/>
      <c r="K17" s="286"/>
      <c r="L17" s="286"/>
      <c r="M17" s="286"/>
      <c r="N17" s="286"/>
      <c r="O17" s="286">
        <f>'3次式係数計算過程'!E9</f>
        <v>8.7688149999999992E-3</v>
      </c>
      <c r="P17" s="286"/>
      <c r="Q17" s="286"/>
      <c r="R17" s="286"/>
      <c r="S17" s="286"/>
      <c r="T17" s="286"/>
      <c r="U17" s="286">
        <f>'3次式係数計算過程'!E10</f>
        <v>4.5688499999999997E-4</v>
      </c>
      <c r="V17" s="286"/>
      <c r="W17" s="286"/>
      <c r="X17" s="286"/>
      <c r="Y17" s="286"/>
      <c r="Z17" s="320"/>
      <c r="AA17" s="348"/>
      <c r="AB17" s="287"/>
      <c r="AC17" s="287"/>
      <c r="AD17" s="287"/>
      <c r="AE17" s="287"/>
      <c r="AF17" s="124"/>
      <c r="AX17" s="146"/>
      <c r="AY17" s="299"/>
      <c r="AZ17" s="291" t="s">
        <v>431</v>
      </c>
      <c r="BA17" s="288"/>
      <c r="BB17" s="291" t="s">
        <v>431</v>
      </c>
      <c r="BC17" s="287"/>
      <c r="BD17" s="291" t="s">
        <v>436</v>
      </c>
      <c r="BE17" s="287"/>
      <c r="BF17" s="291" t="s">
        <v>444</v>
      </c>
      <c r="BG17" s="287"/>
      <c r="BH17" s="288"/>
      <c r="BI17" s="291" t="s">
        <v>440</v>
      </c>
      <c r="BJ17" s="287"/>
      <c r="BK17" s="288"/>
      <c r="BL17" s="291" t="s">
        <v>444</v>
      </c>
      <c r="BM17" s="287"/>
      <c r="BN17" s="288"/>
      <c r="BO17" s="291" t="s">
        <v>449</v>
      </c>
      <c r="BP17" s="288"/>
      <c r="BQ17" s="291" t="s">
        <v>451</v>
      </c>
      <c r="BR17" s="288"/>
      <c r="BS17" s="291" t="s">
        <v>453</v>
      </c>
      <c r="BT17" s="288"/>
      <c r="BU17" s="287" t="s">
        <v>454</v>
      </c>
      <c r="BV17" s="293"/>
      <c r="BW17" s="144">
        <v>6</v>
      </c>
      <c r="BX17" s="284">
        <f>'3次式係数計算過程'!AK35</f>
        <v>25036.3636363636</v>
      </c>
      <c r="BY17" s="284"/>
      <c r="BZ17" s="284"/>
      <c r="CA17" s="283">
        <f>'3次式係数計算過程'!AL35</f>
        <v>0.54545454545454497</v>
      </c>
      <c r="CB17" s="284"/>
      <c r="CC17" s="284"/>
      <c r="CD17" s="339">
        <f>'3次式係数計算過程'!AM35</f>
        <v>3</v>
      </c>
      <c r="CE17" s="283"/>
      <c r="CF17" s="284">
        <f>'3次式係数計算過程'!AN35</f>
        <v>8345.4545454545332</v>
      </c>
      <c r="CG17" s="284"/>
      <c r="CH17" s="284"/>
      <c r="CI17" s="284">
        <f>'3次式係数計算過程'!AO35</f>
        <v>89.803636363636357</v>
      </c>
      <c r="CJ17" s="284"/>
      <c r="CK17" s="284"/>
      <c r="CL17" s="284">
        <f>'3次式係数計算過程'!AP35</f>
        <v>4.9776897226233512</v>
      </c>
      <c r="CM17" s="284"/>
      <c r="CN17" s="284"/>
      <c r="CO17" s="284">
        <f>'3次式係数計算過程'!AS35</f>
        <v>14.933069167870054</v>
      </c>
      <c r="CP17" s="284"/>
      <c r="CQ17" s="284"/>
      <c r="CR17" s="283">
        <f>'3次式係数計算過程'!AT35</f>
        <v>0.13575517425336411</v>
      </c>
      <c r="CS17" s="284"/>
      <c r="CT17" s="292"/>
    </row>
    <row r="18" spans="2:98" ht="20.25" customHeight="1" thickBot="1">
      <c r="B18">
        <v>13</v>
      </c>
      <c r="AA18" s="348"/>
      <c r="AB18" s="287"/>
      <c r="AC18" s="287"/>
      <c r="AD18" s="287"/>
      <c r="AE18" s="287"/>
      <c r="AF18" s="124"/>
      <c r="AX18" s="146"/>
      <c r="AY18" s="299"/>
      <c r="AZ18" s="291" t="s">
        <v>2</v>
      </c>
      <c r="BA18" s="288"/>
      <c r="BB18" s="153" t="s">
        <v>432</v>
      </c>
      <c r="BC18" s="124"/>
      <c r="BD18" s="291" t="s">
        <v>435</v>
      </c>
      <c r="BE18" s="287"/>
      <c r="BF18" s="291" t="s">
        <v>443</v>
      </c>
      <c r="BG18" s="287"/>
      <c r="BH18" s="288"/>
      <c r="BI18" s="291" t="s">
        <v>494</v>
      </c>
      <c r="BJ18" s="287"/>
      <c r="BK18" s="288"/>
      <c r="BL18" s="291" t="s">
        <v>447</v>
      </c>
      <c r="BM18" s="287"/>
      <c r="BN18" s="288"/>
      <c r="BO18" s="291" t="s">
        <v>448</v>
      </c>
      <c r="BP18" s="288"/>
      <c r="BQ18" s="291" t="s">
        <v>450</v>
      </c>
      <c r="BR18" s="288"/>
      <c r="BS18" s="291" t="s">
        <v>454</v>
      </c>
      <c r="BT18" s="288"/>
      <c r="BU18" s="287" t="s">
        <v>450</v>
      </c>
      <c r="BV18" s="293"/>
      <c r="BW18" s="144">
        <v>7</v>
      </c>
      <c r="BX18" s="284">
        <f>'3次式係数計算過程'!AK36</f>
        <v>29209.090909090901</v>
      </c>
      <c r="BY18" s="284"/>
      <c r="BZ18" s="284"/>
      <c r="CA18" s="283">
        <f>'3次式係数計算過程'!AL36</f>
        <v>0.63636363636363635</v>
      </c>
      <c r="CB18" s="284"/>
      <c r="CC18" s="284"/>
      <c r="CD18" s="339">
        <f>'3次式係数計算過程'!AM36</f>
        <v>4</v>
      </c>
      <c r="CE18" s="283"/>
      <c r="CF18" s="284">
        <f>'3次式係数計算過程'!AN36</f>
        <v>7302.2727272727252</v>
      </c>
      <c r="CG18" s="284"/>
      <c r="CH18" s="284"/>
      <c r="CI18" s="284">
        <f>'3次式係数計算過程'!AO36</f>
        <v>104.77090909090909</v>
      </c>
      <c r="CJ18" s="284"/>
      <c r="CK18" s="284"/>
      <c r="CL18" s="284">
        <f>'3次式係数計算過程'!AP36</f>
        <v>5.1148542877558443</v>
      </c>
      <c r="CM18" s="284"/>
      <c r="CN18" s="284"/>
      <c r="CO18" s="284">
        <f>'3次式係数計算過程'!AS36</f>
        <v>20.459417151023377</v>
      </c>
      <c r="CP18" s="284"/>
      <c r="CQ18" s="284"/>
      <c r="CR18" s="283">
        <f>'3次式係数計算過程'!AT36</f>
        <v>0.1859947013729398</v>
      </c>
      <c r="CS18" s="284"/>
      <c r="CT18" s="292"/>
    </row>
    <row r="19" spans="2:98" ht="20.25" customHeight="1">
      <c r="B19">
        <v>14</v>
      </c>
      <c r="C19" s="321" t="s">
        <v>386</v>
      </c>
      <c r="D19" s="322"/>
      <c r="E19" s="322"/>
      <c r="F19" s="322"/>
      <c r="G19" s="322"/>
      <c r="H19" s="322"/>
      <c r="I19" s="322"/>
      <c r="J19" s="322"/>
      <c r="K19" s="322"/>
      <c r="L19" s="322"/>
      <c r="M19" s="322"/>
      <c r="N19" s="322"/>
      <c r="O19" s="322"/>
      <c r="P19" s="322"/>
      <c r="Q19" s="322"/>
      <c r="R19" s="322"/>
      <c r="S19" s="322"/>
      <c r="T19" s="322"/>
      <c r="U19" s="322"/>
      <c r="V19" s="322"/>
      <c r="W19" s="322"/>
      <c r="X19" s="322"/>
      <c r="Y19" s="322"/>
      <c r="Z19" s="323"/>
      <c r="AA19" s="348"/>
      <c r="AB19" s="287"/>
      <c r="AC19" s="287"/>
      <c r="AD19" s="287"/>
      <c r="AE19" s="287"/>
      <c r="AF19" s="125"/>
      <c r="AG19" s="76"/>
      <c r="AH19" s="76"/>
      <c r="AI19" s="76"/>
      <c r="AJ19" s="76"/>
      <c r="AK19" s="76"/>
      <c r="AL19" s="76"/>
      <c r="AM19" s="76"/>
      <c r="AN19" s="76"/>
      <c r="AO19" s="76"/>
      <c r="AP19" s="76"/>
      <c r="AQ19" s="76"/>
      <c r="AR19" s="76"/>
      <c r="AS19" s="76"/>
      <c r="AT19" s="76"/>
      <c r="AU19" s="76"/>
      <c r="AV19" s="76"/>
      <c r="AW19" s="76"/>
      <c r="AX19" s="151"/>
      <c r="AY19" s="299"/>
      <c r="AZ19" s="291" t="s">
        <v>495</v>
      </c>
      <c r="BA19" s="288"/>
      <c r="BB19" s="153" t="s">
        <v>496</v>
      </c>
      <c r="BC19" s="124"/>
      <c r="BD19" s="291" t="s">
        <v>426</v>
      </c>
      <c r="BE19" s="287"/>
      <c r="BF19" s="291"/>
      <c r="BG19" s="287"/>
      <c r="BH19" s="288"/>
      <c r="BI19" s="291" t="s">
        <v>497</v>
      </c>
      <c r="BJ19" s="287"/>
      <c r="BK19" s="288"/>
      <c r="BL19" s="291" t="s">
        <v>498</v>
      </c>
      <c r="BM19" s="287"/>
      <c r="BN19" s="288"/>
      <c r="BO19" s="291" t="s">
        <v>427</v>
      </c>
      <c r="BP19" s="288"/>
      <c r="BQ19" s="291" t="s">
        <v>428</v>
      </c>
      <c r="BR19" s="288"/>
      <c r="BS19" s="291" t="s">
        <v>499</v>
      </c>
      <c r="BT19" s="288"/>
      <c r="BU19" s="287" t="s">
        <v>500</v>
      </c>
      <c r="BV19" s="293"/>
      <c r="BW19" s="144">
        <v>8</v>
      </c>
      <c r="BX19" s="284">
        <f>'3次式係数計算過程'!AK37</f>
        <v>33381.818181818198</v>
      </c>
      <c r="BY19" s="284"/>
      <c r="BZ19" s="284"/>
      <c r="CA19" s="283">
        <f>'3次式係数計算過程'!AL37</f>
        <v>0.72727272727272696</v>
      </c>
      <c r="CB19" s="284"/>
      <c r="CC19" s="284"/>
      <c r="CD19" s="339">
        <f>'3次式係数計算過程'!AM37</f>
        <v>4</v>
      </c>
      <c r="CE19" s="283"/>
      <c r="CF19" s="284">
        <f>'3次式係数計算過程'!AN37</f>
        <v>8345.4545454545496</v>
      </c>
      <c r="CG19" s="284"/>
      <c r="CH19" s="284"/>
      <c r="CI19" s="284">
        <f>'3次式係数計算過程'!AO37</f>
        <v>119.7381818181818</v>
      </c>
      <c r="CJ19" s="284"/>
      <c r="CK19" s="284"/>
      <c r="CL19" s="284">
        <f>'3次式係数計算過程'!AP37</f>
        <v>6.5226814957284454</v>
      </c>
      <c r="CM19" s="284"/>
      <c r="CN19" s="284"/>
      <c r="CO19" s="284">
        <f>'3次式係数計算過程'!AS37</f>
        <v>26.090725982913781</v>
      </c>
      <c r="CP19" s="284"/>
      <c r="CQ19" s="284"/>
      <c r="CR19" s="283">
        <f>'3次式係数計算過程'!AT37</f>
        <v>0.23718841802648893</v>
      </c>
      <c r="CS19" s="284"/>
      <c r="CT19" s="292"/>
    </row>
    <row r="20" spans="2:98" ht="20.25" customHeight="1">
      <c r="B20">
        <v>15</v>
      </c>
      <c r="C20" s="336" t="str">
        <f>入力3!D8</f>
        <v>設計最大流量時の往還差圧設定値　dPtotal,sp,max</v>
      </c>
      <c r="D20" s="337"/>
      <c r="E20" s="337"/>
      <c r="F20" s="337"/>
      <c r="G20" s="337"/>
      <c r="H20" s="337"/>
      <c r="I20" s="337"/>
      <c r="J20" s="337"/>
      <c r="K20" s="337"/>
      <c r="L20" s="337"/>
      <c r="M20" s="337"/>
      <c r="N20" s="337"/>
      <c r="O20" s="337"/>
      <c r="P20" s="337"/>
      <c r="Q20" s="337"/>
      <c r="R20" s="338"/>
      <c r="S20" s="339" t="str">
        <f>入力3!F8</f>
        <v>kPa</v>
      </c>
      <c r="T20" s="283"/>
      <c r="U20" s="339">
        <f>入力3!E8</f>
        <v>219.52</v>
      </c>
      <c r="V20" s="341"/>
      <c r="W20" s="341"/>
      <c r="X20" s="341"/>
      <c r="Y20" s="341"/>
      <c r="Z20" s="342"/>
      <c r="AA20" s="352" t="s">
        <v>628</v>
      </c>
      <c r="AB20" s="347"/>
      <c r="AC20" s="347"/>
      <c r="AD20" s="347"/>
      <c r="AE20" s="347"/>
      <c r="AF20" s="124"/>
      <c r="AW20" s="238"/>
      <c r="AX20" s="239"/>
      <c r="AY20" s="145"/>
      <c r="AZ20" s="295" t="s">
        <v>501</v>
      </c>
      <c r="BA20" s="297"/>
      <c r="BB20" s="295" t="s">
        <v>50</v>
      </c>
      <c r="BC20" s="296"/>
      <c r="BD20" s="295" t="s">
        <v>1</v>
      </c>
      <c r="BE20" s="296"/>
      <c r="BF20" s="295" t="s">
        <v>438</v>
      </c>
      <c r="BG20" s="296"/>
      <c r="BH20" s="297"/>
      <c r="BI20" s="295" t="s">
        <v>45</v>
      </c>
      <c r="BJ20" s="296"/>
      <c r="BK20" s="297"/>
      <c r="BL20" s="295" t="s">
        <v>463</v>
      </c>
      <c r="BM20" s="296"/>
      <c r="BN20" s="297"/>
      <c r="BO20" s="295" t="s">
        <v>502</v>
      </c>
      <c r="BP20" s="297"/>
      <c r="BQ20" s="295" t="s">
        <v>50</v>
      </c>
      <c r="BR20" s="297"/>
      <c r="BS20" s="295" t="s">
        <v>503</v>
      </c>
      <c r="BT20" s="297"/>
      <c r="BU20" s="296" t="s">
        <v>50</v>
      </c>
      <c r="BV20" s="363"/>
      <c r="BW20" s="144">
        <v>9</v>
      </c>
      <c r="BX20" s="284">
        <f>'3次式係数計算過程'!AK38</f>
        <v>37554.5454545455</v>
      </c>
      <c r="BY20" s="284"/>
      <c r="BZ20" s="284"/>
      <c r="CA20" s="283">
        <f>'3次式係数計算過程'!AL38</f>
        <v>0.81818181818181801</v>
      </c>
      <c r="CB20" s="284"/>
      <c r="CC20" s="284"/>
      <c r="CD20" s="339">
        <f>'3次式係数計算過程'!AM38</f>
        <v>5</v>
      </c>
      <c r="CE20" s="283"/>
      <c r="CF20" s="284">
        <f>'3次式係数計算過程'!AN38</f>
        <v>7510.9090909091001</v>
      </c>
      <c r="CG20" s="284"/>
      <c r="CH20" s="284"/>
      <c r="CI20" s="284">
        <f>'3次式係数計算過程'!AO38</f>
        <v>134.70545454545453</v>
      </c>
      <c r="CJ20" s="284"/>
      <c r="CK20" s="284"/>
      <c r="CL20" s="284">
        <f>'3次式係数計算過程'!AP38</f>
        <v>6.5926775406063296</v>
      </c>
      <c r="CM20" s="284"/>
      <c r="CN20" s="284"/>
      <c r="CO20" s="284">
        <f>'3次式係数計算過程'!AS38</f>
        <v>32.96338770303165</v>
      </c>
      <c r="CP20" s="284"/>
      <c r="CQ20" s="284"/>
      <c r="CR20" s="283">
        <f>'3次式係数計算過程'!AT38</f>
        <v>0.29966716093665136</v>
      </c>
      <c r="CS20" s="284"/>
      <c r="CT20" s="292"/>
    </row>
    <row r="21" spans="2:98" ht="20.25" customHeight="1">
      <c r="B21">
        <v>16</v>
      </c>
      <c r="C21" s="336" t="str">
        <f>入力3!D9</f>
        <v>末端差圧設定 (流量0時の往還差圧設定) 　dPtotal,sp,min</v>
      </c>
      <c r="D21" s="337"/>
      <c r="E21" s="337"/>
      <c r="F21" s="337"/>
      <c r="G21" s="337"/>
      <c r="H21" s="337"/>
      <c r="I21" s="337"/>
      <c r="J21" s="337"/>
      <c r="K21" s="337"/>
      <c r="L21" s="337"/>
      <c r="M21" s="337"/>
      <c r="N21" s="337"/>
      <c r="O21" s="337"/>
      <c r="P21" s="337"/>
      <c r="Q21" s="337"/>
      <c r="R21" s="338"/>
      <c r="S21" s="339" t="str">
        <f>入力3!F9</f>
        <v>kPa</v>
      </c>
      <c r="T21" s="283"/>
      <c r="U21" s="340">
        <f>入力3!E9</f>
        <v>50</v>
      </c>
      <c r="V21" s="341"/>
      <c r="W21" s="341"/>
      <c r="X21" s="341"/>
      <c r="Y21" s="341"/>
      <c r="Z21" s="342"/>
      <c r="AA21" s="348"/>
      <c r="AB21" s="287"/>
      <c r="AC21" s="287"/>
      <c r="AD21" s="287"/>
      <c r="AE21" s="287"/>
      <c r="AF21" s="124"/>
      <c r="AX21" s="146"/>
      <c r="AY21" s="144">
        <f>'3次式係数計算過程'!AJ13</f>
        <v>1</v>
      </c>
      <c r="AZ21" s="339">
        <f>'3次式係数計算過程'!AK13</f>
        <v>4590</v>
      </c>
      <c r="BA21" s="283"/>
      <c r="BB21" s="358">
        <f>'3次式係数計算過程'!AL13</f>
        <v>0.1</v>
      </c>
      <c r="BC21" s="283"/>
      <c r="BD21" s="301">
        <f>'3次式係数計算過程'!AM13</f>
        <v>1</v>
      </c>
      <c r="BE21" s="297"/>
      <c r="BF21" s="302">
        <f>'3次式係数計算過程'!AN13</f>
        <v>4590</v>
      </c>
      <c r="BG21" s="302"/>
      <c r="BH21" s="302"/>
      <c r="BI21" s="302">
        <f>'3次式係数計算過程'!AO13</f>
        <v>66.951999999999984</v>
      </c>
      <c r="BJ21" s="302"/>
      <c r="BK21" s="302"/>
      <c r="BL21" s="302">
        <f ca="1">'3次式係数計算過程'!AP13</f>
        <v>1.9721300841581935</v>
      </c>
      <c r="BM21" s="302"/>
      <c r="BN21" s="302"/>
      <c r="BO21" s="295">
        <f ca="1">'3次式係数計算過程'!AQ13</f>
        <v>13.807193040847778</v>
      </c>
      <c r="BP21" s="297"/>
      <c r="BQ21" s="295">
        <f ca="1">'3次式係数計算過程'!AR13</f>
        <v>0.46023976802825928</v>
      </c>
      <c r="BR21" s="297"/>
      <c r="BS21" s="295">
        <f ca="1">'3次式係数計算過程'!AS13</f>
        <v>1.9721300841581935</v>
      </c>
      <c r="BT21" s="297"/>
      <c r="BU21" s="364">
        <f ca="1">'3次式係数計算過程'!AT13</f>
        <v>1.7928455310529032E-2</v>
      </c>
      <c r="BV21" s="365"/>
      <c r="BW21" s="144">
        <v>10</v>
      </c>
      <c r="BX21" s="284">
        <f>'3次式係数計算過程'!AK39</f>
        <v>41727.272727272728</v>
      </c>
      <c r="BY21" s="284"/>
      <c r="BZ21" s="284"/>
      <c r="CA21" s="283">
        <f>'3次式係数計算過程'!AL39</f>
        <v>0.90909090909090906</v>
      </c>
      <c r="CB21" s="284"/>
      <c r="CC21" s="284"/>
      <c r="CD21" s="339">
        <f>'3次式係数計算過程'!AM39</f>
        <v>5</v>
      </c>
      <c r="CE21" s="283"/>
      <c r="CF21" s="284">
        <f>'3次式係数計算過程'!AN39</f>
        <v>8345.454545454546</v>
      </c>
      <c r="CG21" s="284"/>
      <c r="CH21" s="284"/>
      <c r="CI21" s="284">
        <f>'3次式係数計算過程'!AO39</f>
        <v>149.67272727272723</v>
      </c>
      <c r="CJ21" s="284"/>
      <c r="CK21" s="284"/>
      <c r="CL21" s="284">
        <f>'3次式係数計算過程'!AP39</f>
        <v>8.0521328131615331</v>
      </c>
      <c r="CM21" s="284"/>
      <c r="CN21" s="284"/>
      <c r="CO21" s="284">
        <f>'3次式係数計算過程'!AS39</f>
        <v>40.260664065807667</v>
      </c>
      <c r="CP21" s="284"/>
      <c r="CQ21" s="284"/>
      <c r="CR21" s="283">
        <f>'3次式係数計算過程'!AT39</f>
        <v>0.36600603696188788</v>
      </c>
      <c r="CS21" s="284"/>
      <c r="CT21" s="292"/>
    </row>
    <row r="22" spans="2:98" ht="20.25" customHeight="1" thickBot="1">
      <c r="B22">
        <v>17</v>
      </c>
      <c r="C22" s="336" t="str">
        <f>入力3!D11</f>
        <v>予備機を除く2次ポンプ台数　nr</v>
      </c>
      <c r="D22" s="337"/>
      <c r="E22" s="337"/>
      <c r="F22" s="337"/>
      <c r="G22" s="337"/>
      <c r="H22" s="337"/>
      <c r="I22" s="337"/>
      <c r="J22" s="337"/>
      <c r="K22" s="337"/>
      <c r="L22" s="337"/>
      <c r="M22" s="337"/>
      <c r="N22" s="337"/>
      <c r="O22" s="337"/>
      <c r="P22" s="337"/>
      <c r="Q22" s="337"/>
      <c r="R22" s="338"/>
      <c r="S22" s="339" t="str">
        <f>入力3!F11</f>
        <v>台</v>
      </c>
      <c r="T22" s="283"/>
      <c r="U22" s="340">
        <f>入力3!E11</f>
        <v>5</v>
      </c>
      <c r="V22" s="341"/>
      <c r="W22" s="341"/>
      <c r="X22" s="341"/>
      <c r="Y22" s="341"/>
      <c r="Z22" s="342"/>
      <c r="AA22" s="348"/>
      <c r="AB22" s="287"/>
      <c r="AC22" s="287"/>
      <c r="AD22" s="287"/>
      <c r="AE22" s="287"/>
      <c r="AF22" s="124"/>
      <c r="AX22" s="146"/>
      <c r="AY22" s="144">
        <f>'3次式係数計算過程'!AJ14</f>
        <v>2</v>
      </c>
      <c r="AZ22" s="339">
        <f>'3次式係数計算過程'!AK14</f>
        <v>9180</v>
      </c>
      <c r="BA22" s="283"/>
      <c r="BB22" s="339">
        <f>'3次式係数計算過程'!AL14</f>
        <v>0.2</v>
      </c>
      <c r="BC22" s="283"/>
      <c r="BD22" s="339">
        <f>'3次式係数計算過程'!AM14</f>
        <v>1</v>
      </c>
      <c r="BE22" s="283"/>
      <c r="BF22" s="284">
        <f>'3次式係数計算過程'!AN14</f>
        <v>9180</v>
      </c>
      <c r="BG22" s="284"/>
      <c r="BH22" s="284"/>
      <c r="BI22" s="284">
        <f>'3次式係数計算過程'!AO14</f>
        <v>83.903999999999982</v>
      </c>
      <c r="BJ22" s="284"/>
      <c r="BK22" s="284"/>
      <c r="BL22" s="284">
        <f ca="1">'3次式係数計算過程'!AP14</f>
        <v>5.604936289448581</v>
      </c>
      <c r="BM22" s="284"/>
      <c r="BN22" s="284"/>
      <c r="BO22" s="339">
        <f ca="1">'3次式係数計算過程'!AQ14</f>
        <v>18.98049920797348</v>
      </c>
      <c r="BP22" s="283"/>
      <c r="BQ22" s="339">
        <f ca="1">'3次式係数計算過程'!AR14</f>
        <v>0.63268330693244934</v>
      </c>
      <c r="BR22" s="283"/>
      <c r="BS22" s="339">
        <f ca="1">'3次式係数計算過程'!AS14</f>
        <v>5.604936289448581</v>
      </c>
      <c r="BT22" s="283"/>
      <c r="BU22" s="284">
        <f ca="1">'3次式係数計算過程'!AT14</f>
        <v>5.0953966267714375E-2</v>
      </c>
      <c r="BV22" s="292"/>
      <c r="BW22" s="237">
        <v>11</v>
      </c>
      <c r="BX22" s="286">
        <f>'3次式係数計算過程'!AK40</f>
        <v>45900</v>
      </c>
      <c r="BY22" s="286"/>
      <c r="BZ22" s="286"/>
      <c r="CA22" s="285">
        <f>'3次式係数計算過程'!AL40</f>
        <v>1</v>
      </c>
      <c r="CB22" s="286"/>
      <c r="CC22" s="286"/>
      <c r="CD22" s="328">
        <f>'3次式係数計算過程'!AM40</f>
        <v>5</v>
      </c>
      <c r="CE22" s="285"/>
      <c r="CF22" s="286">
        <f>'3次式係数計算過程'!AN40</f>
        <v>9180</v>
      </c>
      <c r="CG22" s="286"/>
      <c r="CH22" s="286"/>
      <c r="CI22" s="286">
        <f>'3次式係数計算過程'!AO40</f>
        <v>164.64</v>
      </c>
      <c r="CJ22" s="286"/>
      <c r="CK22" s="286"/>
      <c r="CL22" s="286">
        <f>'3次式係数計算過程'!AP40</f>
        <v>9.7026582451281698</v>
      </c>
      <c r="CM22" s="286"/>
      <c r="CN22" s="286"/>
      <c r="CO22" s="286">
        <f>'3次式係数計算過程'!AS40</f>
        <v>48.513291225640849</v>
      </c>
      <c r="CP22" s="286"/>
      <c r="CQ22" s="286"/>
      <c r="CR22" s="285">
        <f>'3次式係数計算過程'!AT40</f>
        <v>0.44102992023309862</v>
      </c>
      <c r="CS22" s="286"/>
      <c r="CT22" s="320"/>
    </row>
    <row r="23" spans="2:98" ht="20.25" customHeight="1">
      <c r="B23">
        <v>18</v>
      </c>
      <c r="C23" s="336" t="str">
        <f>入力3!D12</f>
        <v>ポンプ増段閾値　RTH</v>
      </c>
      <c r="D23" s="337"/>
      <c r="E23" s="337"/>
      <c r="F23" s="337"/>
      <c r="G23" s="337"/>
      <c r="H23" s="337"/>
      <c r="I23" s="337"/>
      <c r="J23" s="337"/>
      <c r="K23" s="337"/>
      <c r="L23" s="337"/>
      <c r="M23" s="337"/>
      <c r="N23" s="337"/>
      <c r="O23" s="337"/>
      <c r="P23" s="337"/>
      <c r="Q23" s="337"/>
      <c r="R23" s="338"/>
      <c r="S23" s="339" t="str">
        <f>入力3!F12</f>
        <v>%</v>
      </c>
      <c r="T23" s="283"/>
      <c r="U23" s="340">
        <f>入力3!E12</f>
        <v>100</v>
      </c>
      <c r="V23" s="341"/>
      <c r="W23" s="341"/>
      <c r="X23" s="341"/>
      <c r="Y23" s="341"/>
      <c r="Z23" s="342"/>
      <c r="AA23" s="348"/>
      <c r="AB23" s="287"/>
      <c r="AC23" s="287"/>
      <c r="AD23" s="287"/>
      <c r="AE23" s="287"/>
      <c r="AF23" s="124"/>
      <c r="AX23" s="146"/>
      <c r="AY23" s="144">
        <f>'3次式係数計算過程'!AJ15</f>
        <v>3</v>
      </c>
      <c r="AZ23" s="339">
        <f>'3次式係数計算過程'!AK15</f>
        <v>13770</v>
      </c>
      <c r="BA23" s="283"/>
      <c r="BB23" s="339">
        <f>'3次式係数計算過程'!AL15</f>
        <v>0.3</v>
      </c>
      <c r="BC23" s="283"/>
      <c r="BD23" s="339">
        <f>'3次式係数計算過程'!AM15</f>
        <v>2</v>
      </c>
      <c r="BE23" s="283"/>
      <c r="BF23" s="284">
        <f>'3次式係数計算過程'!AN15</f>
        <v>6885</v>
      </c>
      <c r="BG23" s="284"/>
      <c r="BH23" s="284"/>
      <c r="BI23" s="284">
        <f>'3次式係数計算過程'!AO15</f>
        <v>100.85599999999999</v>
      </c>
      <c r="BJ23" s="284"/>
      <c r="BK23" s="284"/>
      <c r="BL23" s="284">
        <f ca="1">'3次式係数計算過程'!AP15</f>
        <v>4.4845507817035903</v>
      </c>
      <c r="BM23" s="284"/>
      <c r="BN23" s="284"/>
      <c r="BO23" s="339">
        <f ca="1">'3次式係数計算過程'!AQ15</f>
        <v>17.881303310394287</v>
      </c>
      <c r="BP23" s="283"/>
      <c r="BQ23" s="339">
        <f ca="1">'3次式係数計算過程'!AR15</f>
        <v>0.59604344367980955</v>
      </c>
      <c r="BR23" s="283"/>
      <c r="BS23" s="339">
        <f ca="1">'3次式係数計算過程'!AS15</f>
        <v>8.9691015634071807</v>
      </c>
      <c r="BT23" s="283"/>
      <c r="BU23" s="284">
        <f ca="1">'3次式係数計算過程'!AT15</f>
        <v>8.1537286940065276E-2</v>
      </c>
      <c r="BV23" s="292"/>
    </row>
    <row r="24" spans="2:98" ht="20.25" customHeight="1" thickBot="1">
      <c r="B24">
        <v>19</v>
      </c>
      <c r="C24" s="325" t="str">
        <f>入力3!D6</f>
        <v>設計負荷温度差　ΔTR</v>
      </c>
      <c r="D24" s="326"/>
      <c r="E24" s="326"/>
      <c r="F24" s="326"/>
      <c r="G24" s="326"/>
      <c r="H24" s="326"/>
      <c r="I24" s="326"/>
      <c r="J24" s="326"/>
      <c r="K24" s="326"/>
      <c r="L24" s="326"/>
      <c r="M24" s="326"/>
      <c r="N24" s="326"/>
      <c r="O24" s="326"/>
      <c r="P24" s="326"/>
      <c r="Q24" s="326"/>
      <c r="R24" s="327"/>
      <c r="S24" s="328" t="str">
        <f>入力3!F6</f>
        <v>℃</v>
      </c>
      <c r="T24" s="285"/>
      <c r="U24" s="329">
        <f>入力3!E6</f>
        <v>5</v>
      </c>
      <c r="V24" s="330"/>
      <c r="W24" s="330"/>
      <c r="X24" s="330"/>
      <c r="Y24" s="330"/>
      <c r="Z24" s="331"/>
      <c r="AA24" s="348"/>
      <c r="AB24" s="287"/>
      <c r="AC24" s="287"/>
      <c r="AD24" s="287"/>
      <c r="AE24" s="287"/>
      <c r="AF24" s="124"/>
      <c r="AX24" s="146"/>
      <c r="AY24" s="144">
        <f>'3次式係数計算過程'!AJ16</f>
        <v>4</v>
      </c>
      <c r="AZ24" s="339">
        <f>'3次式係数計算過程'!AK16</f>
        <v>18360</v>
      </c>
      <c r="BA24" s="283"/>
      <c r="BB24" s="339">
        <f>'3次式係数計算過程'!AL16</f>
        <v>0.4</v>
      </c>
      <c r="BC24" s="283"/>
      <c r="BD24" s="339">
        <f>'3次式係数計算過程'!AM16</f>
        <v>2</v>
      </c>
      <c r="BE24" s="283"/>
      <c r="BF24" s="284">
        <f>'3次式係数計算過程'!AN16</f>
        <v>9180</v>
      </c>
      <c r="BG24" s="284"/>
      <c r="BH24" s="284"/>
      <c r="BI24" s="284">
        <f>'3次式係数計算過程'!AO16</f>
        <v>117.80799999999998</v>
      </c>
      <c r="BJ24" s="284"/>
      <c r="BK24" s="284"/>
      <c r="BL24" s="284">
        <f ca="1">'3次式係数計算過程'!AP16</f>
        <v>7.2813327239874477</v>
      </c>
      <c r="BM24" s="284"/>
      <c r="BN24" s="284"/>
      <c r="BO24" s="339">
        <f ca="1">'3次式係数計算過程'!AQ16</f>
        <v>20.813765108585358</v>
      </c>
      <c r="BP24" s="283"/>
      <c r="BQ24" s="339">
        <f ca="1">'3次式係数計算過程'!AR16</f>
        <v>0.69379217028617857</v>
      </c>
      <c r="BR24" s="283"/>
      <c r="BS24" s="339">
        <f ca="1">'3次式係数計算過程'!AS16</f>
        <v>14.562665447974895</v>
      </c>
      <c r="BT24" s="283"/>
      <c r="BU24" s="284">
        <f ca="1">'3次式係数計算過程'!AT16</f>
        <v>0.13238786770886268</v>
      </c>
      <c r="BV24" s="292"/>
    </row>
    <row r="25" spans="2:98" ht="20.25" customHeight="1" thickBot="1">
      <c r="B25">
        <v>20</v>
      </c>
      <c r="AA25" s="348"/>
      <c r="AB25" s="287"/>
      <c r="AC25" s="287"/>
      <c r="AD25" s="287"/>
      <c r="AE25" s="287"/>
      <c r="AF25" s="124"/>
      <c r="AX25" s="146"/>
      <c r="AY25" s="144">
        <f>'3次式係数計算過程'!AJ17</f>
        <v>5</v>
      </c>
      <c r="AZ25" s="339">
        <f>'3次式係数計算過程'!AK17</f>
        <v>22950</v>
      </c>
      <c r="BA25" s="283"/>
      <c r="BB25" s="339">
        <f>'3次式係数計算過程'!AL17</f>
        <v>0.5</v>
      </c>
      <c r="BC25" s="283"/>
      <c r="BD25" s="339">
        <f>'3次式係数計算過程'!AM17</f>
        <v>3</v>
      </c>
      <c r="BE25" s="283"/>
      <c r="BF25" s="284">
        <f>'3次式係数計算過程'!AN17</f>
        <v>7650</v>
      </c>
      <c r="BG25" s="284"/>
      <c r="BH25" s="284"/>
      <c r="BI25" s="284">
        <f>'3次式係数計算過程'!AO17</f>
        <v>134.76</v>
      </c>
      <c r="BJ25" s="284"/>
      <c r="BK25" s="284"/>
      <c r="BL25" s="284">
        <f ca="1">'3次式係数計算過程'!AP17</f>
        <v>6.6369196301644688</v>
      </c>
      <c r="BM25" s="284"/>
      <c r="BN25" s="284"/>
      <c r="BO25" s="339">
        <f ca="1">'3次式係数計算過程'!AQ17</f>
        <v>20.428306460380554</v>
      </c>
      <c r="BP25" s="283"/>
      <c r="BQ25" s="339">
        <f ca="1">'3次式係数計算過程'!AR17</f>
        <v>0.68094354867935181</v>
      </c>
      <c r="BR25" s="283"/>
      <c r="BS25" s="339">
        <f ca="1">'3次式係数計算過程'!AS17</f>
        <v>19.910758890493405</v>
      </c>
      <c r="BT25" s="283"/>
      <c r="BU25" s="284">
        <f ca="1">'3次式係数計算過程'!AT17</f>
        <v>0.18100689900448549</v>
      </c>
      <c r="BV25" s="292"/>
    </row>
    <row r="26" spans="2:98" ht="20.25" customHeight="1">
      <c r="B26">
        <v>21</v>
      </c>
      <c r="C26" s="304" t="s">
        <v>490</v>
      </c>
      <c r="D26" s="305"/>
      <c r="E26" s="305"/>
      <c r="F26" s="305"/>
      <c r="G26" s="305"/>
      <c r="H26" s="305"/>
      <c r="I26" s="305"/>
      <c r="J26" s="305"/>
      <c r="K26" s="305"/>
      <c r="L26" s="305"/>
      <c r="M26" s="305"/>
      <c r="N26" s="305"/>
      <c r="O26" s="305"/>
      <c r="P26" s="305"/>
      <c r="Q26" s="305"/>
      <c r="R26" s="305"/>
      <c r="S26" s="305"/>
      <c r="T26" s="305"/>
      <c r="U26" s="305"/>
      <c r="V26" s="305"/>
      <c r="W26" s="305"/>
      <c r="X26" s="305"/>
      <c r="Y26" s="305"/>
      <c r="Z26" s="332"/>
      <c r="AA26" s="348"/>
      <c r="AB26" s="287"/>
      <c r="AC26" s="287"/>
      <c r="AD26" s="287"/>
      <c r="AE26" s="287"/>
      <c r="AF26" s="124"/>
      <c r="AX26" s="146"/>
      <c r="AY26" s="144">
        <f>'3次式係数計算過程'!AJ18</f>
        <v>6</v>
      </c>
      <c r="AZ26" s="339">
        <f>'3次式係数計算過程'!AK18</f>
        <v>27540</v>
      </c>
      <c r="BA26" s="283"/>
      <c r="BB26" s="339">
        <f>'3次式係数計算過程'!AL18</f>
        <v>0.6</v>
      </c>
      <c r="BC26" s="283"/>
      <c r="BD26" s="339">
        <f>'3次式係数計算過程'!AM18</f>
        <v>3</v>
      </c>
      <c r="BE26" s="283"/>
      <c r="BF26" s="284">
        <f>'3次式係数計算過程'!AN18</f>
        <v>9180</v>
      </c>
      <c r="BG26" s="284"/>
      <c r="BH26" s="284"/>
      <c r="BI26" s="284">
        <f>'3次式係数計算過程'!AO18</f>
        <v>151.71199999999999</v>
      </c>
      <c r="BJ26" s="284"/>
      <c r="BK26" s="284"/>
      <c r="BL26" s="284">
        <f ca="1">'3次式係数計算過程'!AP18</f>
        <v>9.0930742893437237</v>
      </c>
      <c r="BM26" s="284"/>
      <c r="BN26" s="284"/>
      <c r="BO26" s="339">
        <f ca="1">'3次式係数計算過程'!AQ18</f>
        <v>22.530391037464142</v>
      </c>
      <c r="BP26" s="283"/>
      <c r="BQ26" s="339">
        <f ca="1">'3次式係数計算過程'!AR18</f>
        <v>0.75101303458213808</v>
      </c>
      <c r="BR26" s="283"/>
      <c r="BS26" s="339">
        <f ca="1">'3次式係数計算過程'!AS18</f>
        <v>27.279222868031169</v>
      </c>
      <c r="BT26" s="283"/>
      <c r="BU26" s="284">
        <f ca="1">'3次式係数計算過程'!AT18</f>
        <v>0.24799293516391971</v>
      </c>
      <c r="BV26" s="292"/>
    </row>
    <row r="27" spans="2:98" ht="20.25" customHeight="1">
      <c r="B27">
        <v>22</v>
      </c>
      <c r="C27" s="333" t="str">
        <f>入力2!H7</f>
        <v>定格流量Mr</v>
      </c>
      <c r="D27" s="334"/>
      <c r="E27" s="334"/>
      <c r="F27" s="334"/>
      <c r="G27" s="334"/>
      <c r="H27" s="334"/>
      <c r="I27" s="334"/>
      <c r="J27" s="334"/>
      <c r="K27" s="334"/>
      <c r="L27" s="334"/>
      <c r="M27" s="334"/>
      <c r="N27" s="334"/>
      <c r="O27" s="334"/>
      <c r="P27" s="334"/>
      <c r="Q27" s="334"/>
      <c r="R27" s="334"/>
      <c r="S27" s="284" t="str">
        <f>入力2!J7</f>
        <v>L/s</v>
      </c>
      <c r="T27" s="284"/>
      <c r="U27" s="335">
        <f>入力2!I7</f>
        <v>2550</v>
      </c>
      <c r="V27" s="284"/>
      <c r="W27" s="284"/>
      <c r="X27" s="284"/>
      <c r="Y27" s="284"/>
      <c r="Z27" s="292"/>
      <c r="AA27" s="348"/>
      <c r="AB27" s="287"/>
      <c r="AC27" s="287"/>
      <c r="AD27" s="287"/>
      <c r="AE27" s="287"/>
      <c r="AF27" s="124"/>
      <c r="AX27" s="146"/>
      <c r="AY27" s="144">
        <f>'3次式係数計算過程'!AJ19</f>
        <v>7</v>
      </c>
      <c r="AZ27" s="339">
        <f>'3次式係数計算過程'!AK19</f>
        <v>32130</v>
      </c>
      <c r="BA27" s="283"/>
      <c r="BB27" s="339">
        <f>'3次式係数計算過程'!AL19</f>
        <v>0.7</v>
      </c>
      <c r="BC27" s="283"/>
      <c r="BD27" s="339">
        <f>'3次式係数計算過程'!AM19</f>
        <v>4</v>
      </c>
      <c r="BE27" s="283"/>
      <c r="BF27" s="284">
        <f>'3次式係数計算過程'!AN19</f>
        <v>8032.5</v>
      </c>
      <c r="BG27" s="284"/>
      <c r="BH27" s="284"/>
      <c r="BI27" s="284">
        <f>'3次式係数計算過程'!AO19</f>
        <v>168.66399999999999</v>
      </c>
      <c r="BJ27" s="284"/>
      <c r="BK27" s="284"/>
      <c r="BL27" s="284">
        <f ca="1">'3次式係数計算過程'!AP19</f>
        <v>8.6969086609712605</v>
      </c>
      <c r="BM27" s="284"/>
      <c r="BN27" s="284"/>
      <c r="BO27" s="339">
        <f ca="1">'3次式係数計算過程'!AQ19</f>
        <v>22.45580792427063</v>
      </c>
      <c r="BP27" s="283"/>
      <c r="BQ27" s="339">
        <f ca="1">'3次式係数計算過程'!AR19</f>
        <v>0.748526930809021</v>
      </c>
      <c r="BR27" s="283"/>
      <c r="BS27" s="339">
        <f ca="1">'3次式係数計算過程'!AS19</f>
        <v>34.787634643885042</v>
      </c>
      <c r="BT27" s="283"/>
      <c r="BU27" s="284">
        <f ca="1">'3次式係数計算過程'!AT19</f>
        <v>0.31625122403531858</v>
      </c>
      <c r="BV27" s="292"/>
    </row>
    <row r="28" spans="2:98" ht="20.25" customHeight="1">
      <c r="B28">
        <v>23</v>
      </c>
      <c r="C28" s="333" t="str">
        <f>入力2!H8</f>
        <v>定格揚程(運転点の揚程=ポンプ前後差圧）</v>
      </c>
      <c r="D28" s="334"/>
      <c r="E28" s="334"/>
      <c r="F28" s="334"/>
      <c r="G28" s="334"/>
      <c r="H28" s="334"/>
      <c r="I28" s="334"/>
      <c r="J28" s="334"/>
      <c r="K28" s="334"/>
      <c r="L28" s="334"/>
      <c r="M28" s="334"/>
      <c r="N28" s="334"/>
      <c r="O28" s="334"/>
      <c r="P28" s="334"/>
      <c r="Q28" s="334"/>
      <c r="R28" s="334"/>
      <c r="S28" s="284" t="str">
        <f>入力2!J8</f>
        <v>m</v>
      </c>
      <c r="T28" s="284"/>
      <c r="U28" s="335">
        <f>入力2!I8</f>
        <v>32</v>
      </c>
      <c r="V28" s="284"/>
      <c r="W28" s="284"/>
      <c r="X28" s="284"/>
      <c r="Y28" s="284"/>
      <c r="Z28" s="292"/>
      <c r="AA28" s="348"/>
      <c r="AB28" s="287"/>
      <c r="AC28" s="287"/>
      <c r="AD28" s="287"/>
      <c r="AE28" s="287"/>
      <c r="AF28" s="124"/>
      <c r="AX28" s="146"/>
      <c r="AY28" s="144">
        <f>'3次式係数計算過程'!AJ20</f>
        <v>8</v>
      </c>
      <c r="AZ28" s="339">
        <f>'3次式係数計算過程'!AK20</f>
        <v>36720</v>
      </c>
      <c r="BA28" s="283"/>
      <c r="BB28" s="339">
        <f>'3次式係数計算過程'!AL20</f>
        <v>0.8</v>
      </c>
      <c r="BC28" s="283"/>
      <c r="BD28" s="339">
        <f>'3次式係数計算過程'!AM20</f>
        <v>4</v>
      </c>
      <c r="BE28" s="283"/>
      <c r="BF28" s="284">
        <f>'3次式係数計算過程'!AN20</f>
        <v>9180</v>
      </c>
      <c r="BG28" s="284"/>
      <c r="BH28" s="284"/>
      <c r="BI28" s="284">
        <f>'3次式係数計算過程'!AO20</f>
        <v>185.61599999999999</v>
      </c>
      <c r="BJ28" s="284"/>
      <c r="BK28" s="284"/>
      <c r="BL28" s="284">
        <f ca="1">'3次式係数計算過程'!AP20</f>
        <v>10.98779590101055</v>
      </c>
      <c r="BM28" s="284"/>
      <c r="BN28" s="284"/>
      <c r="BO28" s="339">
        <f ca="1">'3次式係数計算過程'!AQ20</f>
        <v>24.13189297914505</v>
      </c>
      <c r="BP28" s="283"/>
      <c r="BQ28" s="339">
        <f ca="1">'3次式係数計算過程'!AR20</f>
        <v>0.80439643263816829</v>
      </c>
      <c r="BR28" s="283"/>
      <c r="BS28" s="339">
        <f ca="1">'3次式係数計算過程'!AS20</f>
        <v>43.9511836040422</v>
      </c>
      <c r="BT28" s="283"/>
      <c r="BU28" s="284">
        <f ca="1">'3次式係数計算過程'!AT20</f>
        <v>0.39955621458220181</v>
      </c>
      <c r="BV28" s="292"/>
    </row>
    <row r="29" spans="2:98" ht="20.25" customHeight="1">
      <c r="B29">
        <v>24</v>
      </c>
      <c r="C29" s="333" t="str">
        <f>入力2!H9</f>
        <v>電動機定格出力(軸動力）SPr</v>
      </c>
      <c r="D29" s="334"/>
      <c r="E29" s="334"/>
      <c r="F29" s="334"/>
      <c r="G29" s="334"/>
      <c r="H29" s="334"/>
      <c r="I29" s="334"/>
      <c r="J29" s="334"/>
      <c r="K29" s="334"/>
      <c r="L29" s="334"/>
      <c r="M29" s="334"/>
      <c r="N29" s="334"/>
      <c r="O29" s="334"/>
      <c r="P29" s="334"/>
      <c r="Q29" s="334"/>
      <c r="R29" s="334"/>
      <c r="S29" s="284" t="str">
        <f>入力2!J9</f>
        <v>kW</v>
      </c>
      <c r="T29" s="284"/>
      <c r="U29" s="335">
        <f>入力2!I9</f>
        <v>22</v>
      </c>
      <c r="V29" s="284"/>
      <c r="W29" s="284"/>
      <c r="X29" s="284"/>
      <c r="Y29" s="284"/>
      <c r="Z29" s="292"/>
      <c r="AA29" s="348"/>
      <c r="AB29" s="287"/>
      <c r="AC29" s="287"/>
      <c r="AD29" s="287"/>
      <c r="AE29" s="287"/>
      <c r="AF29" s="124"/>
      <c r="AX29" s="146"/>
      <c r="AY29" s="144">
        <f>'3次式係数計算過程'!AJ21</f>
        <v>9</v>
      </c>
      <c r="AZ29" s="339">
        <f>'3次式係数計算過程'!AK21</f>
        <v>41310</v>
      </c>
      <c r="BA29" s="283"/>
      <c r="BB29" s="339">
        <f>'3次式係数計算過程'!AL21</f>
        <v>0.9</v>
      </c>
      <c r="BC29" s="283"/>
      <c r="BD29" s="339">
        <f>'3次式係数計算過程'!AM21</f>
        <v>5</v>
      </c>
      <c r="BE29" s="283"/>
      <c r="BF29" s="284">
        <f>'3次式係数計算過程'!AN21</f>
        <v>8262</v>
      </c>
      <c r="BG29" s="284"/>
      <c r="BH29" s="284"/>
      <c r="BI29" s="284">
        <f>'3次式係数計算過程'!AO21</f>
        <v>202.56799999999998</v>
      </c>
      <c r="BJ29" s="284"/>
      <c r="BK29" s="284"/>
      <c r="BL29" s="284">
        <f ca="1">'3次式係数計算過程'!AP21</f>
        <v>10.736177084215379</v>
      </c>
      <c r="BM29" s="284"/>
      <c r="BN29" s="284"/>
      <c r="BO29" s="339">
        <f ca="1">'3次式係数計算過程'!AQ21</f>
        <v>24.214419901371002</v>
      </c>
      <c r="BP29" s="283"/>
      <c r="BQ29" s="339">
        <f ca="1">'3次式係数計算過程'!AR21</f>
        <v>0.80714733004570005</v>
      </c>
      <c r="BR29" s="283"/>
      <c r="BS29" s="339">
        <f ca="1">'3次式係数計算過程'!AS21</f>
        <v>53.680885421076894</v>
      </c>
      <c r="BT29" s="283"/>
      <c r="BU29" s="284">
        <f ca="1">'3次式係数計算過程'!AT21</f>
        <v>0.48800804928251723</v>
      </c>
      <c r="BV29" s="292"/>
    </row>
    <row r="30" spans="2:98" ht="20.25" customHeight="1" thickBot="1">
      <c r="B30">
        <v>25</v>
      </c>
      <c r="C30" s="333" t="str">
        <f>入力2!H10</f>
        <v>定格回転数(ポンプの同期（回転）速度)</v>
      </c>
      <c r="D30" s="334"/>
      <c r="E30" s="334"/>
      <c r="F30" s="334"/>
      <c r="G30" s="334"/>
      <c r="H30" s="334"/>
      <c r="I30" s="334"/>
      <c r="J30" s="334"/>
      <c r="K30" s="334"/>
      <c r="L30" s="334"/>
      <c r="M30" s="334"/>
      <c r="N30" s="334"/>
      <c r="O30" s="334"/>
      <c r="P30" s="334"/>
      <c r="Q30" s="334"/>
      <c r="R30" s="334"/>
      <c r="S30" s="284" t="str">
        <f>入力2!J10</f>
        <v>1/min</v>
      </c>
      <c r="T30" s="284"/>
      <c r="U30" s="335">
        <f>入力2!I10</f>
        <v>1800</v>
      </c>
      <c r="V30" s="284"/>
      <c r="W30" s="284"/>
      <c r="X30" s="284"/>
      <c r="Y30" s="284"/>
      <c r="Z30" s="292"/>
      <c r="AA30" s="348"/>
      <c r="AB30" s="287"/>
      <c r="AC30" s="287"/>
      <c r="AD30" s="287"/>
      <c r="AE30" s="287"/>
      <c r="AF30" s="125"/>
      <c r="AG30" s="76"/>
      <c r="AH30" s="76"/>
      <c r="AI30" s="76"/>
      <c r="AJ30" s="76"/>
      <c r="AK30" s="76"/>
      <c r="AL30" s="76"/>
      <c r="AM30" s="76"/>
      <c r="AN30" s="76"/>
      <c r="AO30" s="76"/>
      <c r="AP30" s="76"/>
      <c r="AQ30" s="76"/>
      <c r="AR30" s="76"/>
      <c r="AS30" s="76"/>
      <c r="AT30" s="76"/>
      <c r="AU30" s="76"/>
      <c r="AV30" s="76"/>
      <c r="AW30" s="76"/>
      <c r="AX30" s="151"/>
      <c r="AY30" s="237">
        <f>'3次式係数計算過程'!AJ22</f>
        <v>10</v>
      </c>
      <c r="AZ30" s="328">
        <f>'3次式係数計算過程'!AK22</f>
        <v>45900</v>
      </c>
      <c r="BA30" s="285"/>
      <c r="BB30" s="328">
        <f>'3次式係数計算過程'!AL22</f>
        <v>1</v>
      </c>
      <c r="BC30" s="285"/>
      <c r="BD30" s="328">
        <f>'3次式係数計算過程'!AM22</f>
        <v>5</v>
      </c>
      <c r="BE30" s="285"/>
      <c r="BF30" s="286">
        <f>'3次式係数計算過程'!AN22</f>
        <v>9180</v>
      </c>
      <c r="BG30" s="286"/>
      <c r="BH30" s="286"/>
      <c r="BI30" s="286">
        <f>'3次式係数計算過程'!AO22</f>
        <v>219.51999999999998</v>
      </c>
      <c r="BJ30" s="286"/>
      <c r="BK30" s="286"/>
      <c r="BL30" s="286">
        <f ca="1">'3次式係数計算過程'!AP22</f>
        <v>12.936877660170893</v>
      </c>
      <c r="BM30" s="286"/>
      <c r="BN30" s="286"/>
      <c r="BO30" s="328">
        <f ca="1">'3次式係数計算過程'!AQ22</f>
        <v>25.630578517913818</v>
      </c>
      <c r="BP30" s="285"/>
      <c r="BQ30" s="328">
        <f ca="1">'3次式係数計算過程'!AR22</f>
        <v>0.85435261726379397</v>
      </c>
      <c r="BR30" s="285"/>
      <c r="BS30" s="328">
        <f ca="1">'3次式係数計算過程'!AS22</f>
        <v>64.684388300854465</v>
      </c>
      <c r="BT30" s="285"/>
      <c r="BU30" s="286">
        <f ca="1">'3次式係数計算過程'!AT22</f>
        <v>0.58803989364413145</v>
      </c>
      <c r="BV30" s="320"/>
    </row>
    <row r="31" spans="2:98" ht="20.25" customHeight="1" thickBot="1">
      <c r="B31">
        <v>26</v>
      </c>
      <c r="C31" s="343" t="str">
        <f>入力2!H11</f>
        <v>商用電源周波数</v>
      </c>
      <c r="D31" s="344"/>
      <c r="E31" s="344"/>
      <c r="F31" s="344"/>
      <c r="G31" s="344"/>
      <c r="H31" s="344"/>
      <c r="I31" s="344"/>
      <c r="J31" s="344"/>
      <c r="K31" s="344"/>
      <c r="L31" s="344"/>
      <c r="M31" s="344"/>
      <c r="N31" s="344"/>
      <c r="O31" s="344"/>
      <c r="P31" s="344"/>
      <c r="Q31" s="344"/>
      <c r="R31" s="344"/>
      <c r="S31" s="286" t="str">
        <f>入力2!J11</f>
        <v>Hz</v>
      </c>
      <c r="T31" s="286"/>
      <c r="U31" s="345">
        <f>入力2!I11</f>
        <v>60</v>
      </c>
      <c r="V31" s="286"/>
      <c r="W31" s="286"/>
      <c r="X31" s="286"/>
      <c r="Y31" s="286"/>
      <c r="Z31" s="320"/>
      <c r="AA31" s="349" t="s">
        <v>476</v>
      </c>
      <c r="AB31" s="347"/>
      <c r="AC31" s="347"/>
      <c r="AD31" s="347"/>
      <c r="AE31" s="347"/>
      <c r="AF31" s="124"/>
      <c r="AX31" s="146"/>
    </row>
    <row r="32" spans="2:98" ht="20.25" customHeight="1">
      <c r="B32">
        <v>27</v>
      </c>
      <c r="AA32" s="348"/>
      <c r="AB32" s="287"/>
      <c r="AC32" s="287"/>
      <c r="AD32" s="287"/>
      <c r="AE32" s="287"/>
      <c r="AF32" s="124"/>
      <c r="AX32" s="146"/>
    </row>
    <row r="33" spans="2:98" ht="20.25" customHeight="1">
      <c r="B33">
        <v>28</v>
      </c>
      <c r="AA33" s="348"/>
      <c r="AB33" s="287"/>
      <c r="AC33" s="287"/>
      <c r="AD33" s="287"/>
      <c r="AE33" s="287"/>
      <c r="AF33" s="124"/>
      <c r="AX33" s="146"/>
    </row>
    <row r="34" spans="2:98" ht="20.25" customHeight="1">
      <c r="B34">
        <v>29</v>
      </c>
      <c r="AA34" s="348"/>
      <c r="AB34" s="287"/>
      <c r="AC34" s="287"/>
      <c r="AD34" s="287"/>
      <c r="AE34" s="287"/>
      <c r="AF34" s="124"/>
      <c r="AX34" s="146"/>
    </row>
    <row r="35" spans="2:98" ht="20.25" customHeight="1">
      <c r="B35">
        <v>30</v>
      </c>
      <c r="AA35" s="348"/>
      <c r="AB35" s="287"/>
      <c r="AC35" s="287"/>
      <c r="AD35" s="287"/>
      <c r="AE35" s="287"/>
      <c r="AF35" s="124"/>
      <c r="AX35" s="146"/>
    </row>
    <row r="36" spans="2:98" ht="20.25" customHeight="1">
      <c r="B36">
        <v>31</v>
      </c>
      <c r="AA36" s="348"/>
      <c r="AB36" s="287"/>
      <c r="AC36" s="287"/>
      <c r="AD36" s="287"/>
      <c r="AE36" s="287"/>
      <c r="AF36" s="124"/>
      <c r="AX36" s="146"/>
    </row>
    <row r="37" spans="2:98" ht="20.25" customHeight="1">
      <c r="B37">
        <v>32</v>
      </c>
      <c r="AA37" s="348"/>
      <c r="AB37" s="287"/>
      <c r="AC37" s="287"/>
      <c r="AD37" s="287"/>
      <c r="AE37" s="287"/>
      <c r="AF37" s="124"/>
      <c r="AX37" s="146"/>
    </row>
    <row r="38" spans="2:98" ht="20.25" customHeight="1">
      <c r="B38">
        <v>33</v>
      </c>
      <c r="AA38" s="348"/>
      <c r="AB38" s="287"/>
      <c r="AC38" s="287"/>
      <c r="AD38" s="287"/>
      <c r="AE38" s="287"/>
      <c r="AF38" s="124"/>
      <c r="AX38" s="146"/>
    </row>
    <row r="39" spans="2:98" ht="20.25" customHeight="1">
      <c r="B39">
        <v>34</v>
      </c>
      <c r="AA39" s="348"/>
      <c r="AB39" s="287"/>
      <c r="AC39" s="287"/>
      <c r="AD39" s="287"/>
      <c r="AE39" s="287"/>
      <c r="AF39" s="124"/>
      <c r="AX39" s="146"/>
    </row>
    <row r="40" spans="2:98" ht="20.25" customHeight="1">
      <c r="B40">
        <v>35</v>
      </c>
      <c r="AA40" s="348"/>
      <c r="AB40" s="287"/>
      <c r="AC40" s="287"/>
      <c r="AD40" s="287"/>
      <c r="AE40" s="287"/>
      <c r="AF40" s="124"/>
      <c r="AX40" s="146"/>
      <c r="BW40" s="294" t="s">
        <v>647</v>
      </c>
      <c r="BX40" s="294"/>
      <c r="BY40" s="294"/>
      <c r="BZ40" s="294"/>
      <c r="CA40" s="294"/>
      <c r="CB40" s="294"/>
      <c r="CC40" s="294"/>
      <c r="CD40" s="294"/>
      <c r="CE40" s="294"/>
      <c r="CF40" s="294"/>
      <c r="CG40" s="294"/>
      <c r="CH40" s="294"/>
      <c r="CI40" s="294"/>
      <c r="CJ40" s="294"/>
      <c r="CK40" s="294"/>
      <c r="CL40" s="294"/>
      <c r="CM40" s="294"/>
      <c r="CN40" s="294"/>
      <c r="CO40" s="294"/>
      <c r="CP40" s="294"/>
      <c r="CQ40" s="294"/>
      <c r="CR40" s="294"/>
      <c r="CS40" s="294"/>
      <c r="CT40" s="294"/>
    </row>
    <row r="41" spans="2:98" ht="20.25" customHeight="1" thickBot="1">
      <c r="B41">
        <v>36</v>
      </c>
      <c r="AA41" s="350"/>
      <c r="AB41" s="351"/>
      <c r="AC41" s="351"/>
      <c r="AD41" s="351"/>
      <c r="AE41" s="351"/>
      <c r="AF41" s="148"/>
      <c r="AG41" s="149"/>
      <c r="AH41" s="149"/>
      <c r="AI41" s="149"/>
      <c r="AJ41" s="149"/>
      <c r="AK41" s="149"/>
      <c r="AL41" s="149"/>
      <c r="AM41" s="149"/>
      <c r="AN41" s="149"/>
      <c r="AO41" s="149"/>
      <c r="AP41" s="149"/>
      <c r="AQ41" s="149"/>
      <c r="AR41" s="149"/>
      <c r="AS41" s="149"/>
      <c r="AT41" s="149"/>
      <c r="AU41" s="149"/>
      <c r="AV41" s="149"/>
      <c r="AW41" s="149"/>
      <c r="AX41" s="150"/>
      <c r="BW41" s="294"/>
      <c r="BX41" s="294"/>
      <c r="BY41" s="294"/>
      <c r="BZ41" s="294"/>
      <c r="CA41" s="294"/>
      <c r="CB41" s="294"/>
      <c r="CC41" s="294"/>
      <c r="CD41" s="294"/>
      <c r="CE41" s="294"/>
      <c r="CF41" s="294"/>
      <c r="CG41" s="294"/>
      <c r="CH41" s="294"/>
      <c r="CI41" s="294"/>
      <c r="CJ41" s="294"/>
      <c r="CK41" s="294"/>
      <c r="CL41" s="294"/>
      <c r="CM41" s="294"/>
      <c r="CN41" s="294"/>
      <c r="CO41" s="294"/>
      <c r="CP41" s="294"/>
      <c r="CQ41" s="294"/>
      <c r="CR41" s="294"/>
      <c r="CS41" s="294"/>
      <c r="CT41" s="294"/>
    </row>
  </sheetData>
  <sheetProtection algorithmName="SHA-512" hashValue="l3FMAf22sGBLgWsAo0Yor92DbREBlS8iUQYv7FfBEbWtc1iC2vrMT7ZuV8WytZrPg6WntHbbyiE2SxEJxI1BmQ==" saltValue="IlZ6vmW8Y+TESOHVRVk0YQ==" spinCount="100000" sheet="1" objects="1" scenarios="1"/>
  <mergeCells count="335">
    <mergeCell ref="CR21:CT21"/>
    <mergeCell ref="CR22:CT22"/>
    <mergeCell ref="BX21:BZ21"/>
    <mergeCell ref="BX22:BZ22"/>
    <mergeCell ref="CD22:CE22"/>
    <mergeCell ref="CF22:CH22"/>
    <mergeCell ref="CI22:CK22"/>
    <mergeCell ref="CL22:CN22"/>
    <mergeCell ref="CD21:CE21"/>
    <mergeCell ref="CF21:CH21"/>
    <mergeCell ref="CI21:CK21"/>
    <mergeCell ref="CL21:CN21"/>
    <mergeCell ref="CO21:CQ21"/>
    <mergeCell ref="CO22:CQ22"/>
    <mergeCell ref="CR18:CT18"/>
    <mergeCell ref="BX17:BZ17"/>
    <mergeCell ref="BX18:BZ18"/>
    <mergeCell ref="CA17:CC17"/>
    <mergeCell ref="CD20:CE20"/>
    <mergeCell ref="CF20:CH20"/>
    <mergeCell ref="CI20:CK20"/>
    <mergeCell ref="CL20:CN20"/>
    <mergeCell ref="CD19:CE19"/>
    <mergeCell ref="CF19:CH19"/>
    <mergeCell ref="CI19:CK19"/>
    <mergeCell ref="CL19:CN19"/>
    <mergeCell ref="CO19:CQ19"/>
    <mergeCell ref="CO20:CQ20"/>
    <mergeCell ref="CR19:CT19"/>
    <mergeCell ref="CR20:CT20"/>
    <mergeCell ref="BX19:BZ19"/>
    <mergeCell ref="BX20:BZ20"/>
    <mergeCell ref="CD18:CE18"/>
    <mergeCell ref="CF18:CH18"/>
    <mergeCell ref="CI18:CK18"/>
    <mergeCell ref="CL18:CN18"/>
    <mergeCell ref="CD17:CE17"/>
    <mergeCell ref="CF17:CH17"/>
    <mergeCell ref="CI17:CK17"/>
    <mergeCell ref="CL17:CN17"/>
    <mergeCell ref="CO17:CQ17"/>
    <mergeCell ref="CO18:CQ18"/>
    <mergeCell ref="CD16:CE16"/>
    <mergeCell ref="CF16:CH16"/>
    <mergeCell ref="CI16:CK16"/>
    <mergeCell ref="CL16:CN16"/>
    <mergeCell ref="CD15:CE15"/>
    <mergeCell ref="CF15:CH15"/>
    <mergeCell ref="CI15:CK15"/>
    <mergeCell ref="CL15:CN15"/>
    <mergeCell ref="CO15:CQ15"/>
    <mergeCell ref="CO16:CQ16"/>
    <mergeCell ref="CF11:CH11"/>
    <mergeCell ref="CD14:CE14"/>
    <mergeCell ref="CF14:CH14"/>
    <mergeCell ref="CI14:CK14"/>
    <mergeCell ref="CL14:CN14"/>
    <mergeCell ref="CD13:CE13"/>
    <mergeCell ref="CF13:CH13"/>
    <mergeCell ref="CI13:CK13"/>
    <mergeCell ref="CL13:CN13"/>
    <mergeCell ref="BW6:CT6"/>
    <mergeCell ref="CD7:CE7"/>
    <mergeCell ref="CF7:CH7"/>
    <mergeCell ref="CI7:CK7"/>
    <mergeCell ref="CL7:CN7"/>
    <mergeCell ref="CO7:CQ7"/>
    <mergeCell ref="CR7:CT7"/>
    <mergeCell ref="BX7:BZ7"/>
    <mergeCell ref="CA7:CC7"/>
    <mergeCell ref="AA6:AX8"/>
    <mergeCell ref="BS30:BT30"/>
    <mergeCell ref="BU17:BV17"/>
    <mergeCell ref="BU18:BV18"/>
    <mergeCell ref="BU19:BV19"/>
    <mergeCell ref="BU20:BV20"/>
    <mergeCell ref="BU21:BV21"/>
    <mergeCell ref="BS20:BT20"/>
    <mergeCell ref="BS19:BT19"/>
    <mergeCell ref="BS18:BT18"/>
    <mergeCell ref="BS17:BT17"/>
    <mergeCell ref="BU27:BV27"/>
    <mergeCell ref="BU28:BV28"/>
    <mergeCell ref="BU29:BV29"/>
    <mergeCell ref="BU30:BV30"/>
    <mergeCell ref="BU22:BV22"/>
    <mergeCell ref="BU23:BV23"/>
    <mergeCell ref="BU24:BV24"/>
    <mergeCell ref="BU25:BV25"/>
    <mergeCell ref="BU26:BV26"/>
    <mergeCell ref="BS21:BT21"/>
    <mergeCell ref="BS22:BT22"/>
    <mergeCell ref="BS23:BT23"/>
    <mergeCell ref="BS24:BT24"/>
    <mergeCell ref="BS25:BT25"/>
    <mergeCell ref="BL21:BN21"/>
    <mergeCell ref="BL22:BN22"/>
    <mergeCell ref="BL16:BN16"/>
    <mergeCell ref="BS26:BT26"/>
    <mergeCell ref="BS27:BT27"/>
    <mergeCell ref="BS28:BT28"/>
    <mergeCell ref="BS29:BT29"/>
    <mergeCell ref="BO29:BP29"/>
    <mergeCell ref="BL17:BN17"/>
    <mergeCell ref="BL18:BN18"/>
    <mergeCell ref="BL19:BN19"/>
    <mergeCell ref="BL20:BN20"/>
    <mergeCell ref="BS16:BT16"/>
    <mergeCell ref="BO30:BP30"/>
    <mergeCell ref="BQ16:BR16"/>
    <mergeCell ref="BQ17:BR17"/>
    <mergeCell ref="BQ18:BR18"/>
    <mergeCell ref="BQ19:BR19"/>
    <mergeCell ref="BQ20:BR20"/>
    <mergeCell ref="BQ21:BR21"/>
    <mergeCell ref="BQ22:BR22"/>
    <mergeCell ref="BQ23:BR23"/>
    <mergeCell ref="BQ24:BR24"/>
    <mergeCell ref="BQ25:BR25"/>
    <mergeCell ref="BQ26:BR26"/>
    <mergeCell ref="BQ27:BR27"/>
    <mergeCell ref="BQ28:BR28"/>
    <mergeCell ref="BQ29:BR29"/>
    <mergeCell ref="BQ30:BR30"/>
    <mergeCell ref="BF20:BH20"/>
    <mergeCell ref="BF21:BH21"/>
    <mergeCell ref="BF22:BH22"/>
    <mergeCell ref="BL28:BN28"/>
    <mergeCell ref="BL29:BN29"/>
    <mergeCell ref="BL30:BN30"/>
    <mergeCell ref="BO16:BP16"/>
    <mergeCell ref="BO17:BP17"/>
    <mergeCell ref="BO18:BP18"/>
    <mergeCell ref="BO19:BP19"/>
    <mergeCell ref="BO20:BP20"/>
    <mergeCell ref="BO21:BP21"/>
    <mergeCell ref="BO22:BP22"/>
    <mergeCell ref="BO23:BP23"/>
    <mergeCell ref="BO24:BP24"/>
    <mergeCell ref="BO25:BP25"/>
    <mergeCell ref="BO26:BP26"/>
    <mergeCell ref="BO27:BP27"/>
    <mergeCell ref="BO28:BP28"/>
    <mergeCell ref="BL23:BN23"/>
    <mergeCell ref="BL24:BN24"/>
    <mergeCell ref="BL25:BN25"/>
    <mergeCell ref="BL26:BN26"/>
    <mergeCell ref="BL27:BN27"/>
    <mergeCell ref="BD21:BE21"/>
    <mergeCell ref="BD22:BE22"/>
    <mergeCell ref="BD23:BE23"/>
    <mergeCell ref="BD24:BE24"/>
    <mergeCell ref="BD25:BE25"/>
    <mergeCell ref="BF30:BH30"/>
    <mergeCell ref="BI16:BK16"/>
    <mergeCell ref="BI17:BK17"/>
    <mergeCell ref="BI18:BK18"/>
    <mergeCell ref="BI19:BK19"/>
    <mergeCell ref="BI20:BK20"/>
    <mergeCell ref="BI21:BK21"/>
    <mergeCell ref="BI22:BK22"/>
    <mergeCell ref="BI23:BK23"/>
    <mergeCell ref="BI24:BK24"/>
    <mergeCell ref="BI25:BK25"/>
    <mergeCell ref="BI26:BK26"/>
    <mergeCell ref="BI27:BK27"/>
    <mergeCell ref="BI28:BK28"/>
    <mergeCell ref="BI29:BK29"/>
    <mergeCell ref="BI30:BK30"/>
    <mergeCell ref="BF25:BH25"/>
    <mergeCell ref="BF26:BH26"/>
    <mergeCell ref="BF27:BH27"/>
    <mergeCell ref="BF23:BH23"/>
    <mergeCell ref="BF24:BH24"/>
    <mergeCell ref="BD26:BE26"/>
    <mergeCell ref="BD27:BE27"/>
    <mergeCell ref="BD28:BE28"/>
    <mergeCell ref="BD29:BE29"/>
    <mergeCell ref="BD30:BE30"/>
    <mergeCell ref="BF28:BH28"/>
    <mergeCell ref="BF29:BH29"/>
    <mergeCell ref="AZ25:BA25"/>
    <mergeCell ref="AZ26:BA26"/>
    <mergeCell ref="AZ27:BA27"/>
    <mergeCell ref="AZ28:BA28"/>
    <mergeCell ref="AZ29:BA29"/>
    <mergeCell ref="AZ20:BA20"/>
    <mergeCell ref="AZ21:BA21"/>
    <mergeCell ref="AZ22:BA22"/>
    <mergeCell ref="BB20:BC20"/>
    <mergeCell ref="AZ23:BA23"/>
    <mergeCell ref="AZ24:BA24"/>
    <mergeCell ref="BB22:BC22"/>
    <mergeCell ref="BB23:BC23"/>
    <mergeCell ref="BB24:BC24"/>
    <mergeCell ref="BB25:BC25"/>
    <mergeCell ref="BB26:BC26"/>
    <mergeCell ref="BB27:BC27"/>
    <mergeCell ref="BB28:BC28"/>
    <mergeCell ref="BB29:BC29"/>
    <mergeCell ref="BB21:BC21"/>
    <mergeCell ref="BB30:BC30"/>
    <mergeCell ref="BD16:BE16"/>
    <mergeCell ref="BD17:BE17"/>
    <mergeCell ref="BD18:BE18"/>
    <mergeCell ref="AA9:AE19"/>
    <mergeCell ref="AA31:AE41"/>
    <mergeCell ref="AA20:AE30"/>
    <mergeCell ref="AY6:BV6"/>
    <mergeCell ref="AY15:BV15"/>
    <mergeCell ref="AY16:AY19"/>
    <mergeCell ref="AZ17:BA17"/>
    <mergeCell ref="AZ18:BA18"/>
    <mergeCell ref="AZ19:BA19"/>
    <mergeCell ref="BB17:BC17"/>
    <mergeCell ref="AZ16:BA16"/>
    <mergeCell ref="BB16:BC16"/>
    <mergeCell ref="BF16:BH16"/>
    <mergeCell ref="BF17:BH17"/>
    <mergeCell ref="BF18:BH18"/>
    <mergeCell ref="BF19:BH19"/>
    <mergeCell ref="BU16:BV16"/>
    <mergeCell ref="BD19:BE19"/>
    <mergeCell ref="BD20:BE20"/>
    <mergeCell ref="AZ30:BA30"/>
    <mergeCell ref="C30:R30"/>
    <mergeCell ref="S30:T30"/>
    <mergeCell ref="U30:Z30"/>
    <mergeCell ref="C31:R31"/>
    <mergeCell ref="S31:T31"/>
    <mergeCell ref="U31:Z31"/>
    <mergeCell ref="C28:R28"/>
    <mergeCell ref="S28:T28"/>
    <mergeCell ref="U28:Z28"/>
    <mergeCell ref="C29:R29"/>
    <mergeCell ref="S29:T29"/>
    <mergeCell ref="U29:Z29"/>
    <mergeCell ref="C24:R24"/>
    <mergeCell ref="S24:T24"/>
    <mergeCell ref="U24:Z24"/>
    <mergeCell ref="C26:Z26"/>
    <mergeCell ref="C27:R27"/>
    <mergeCell ref="S27:T27"/>
    <mergeCell ref="U27:Z27"/>
    <mergeCell ref="C22:R22"/>
    <mergeCell ref="C19:Z19"/>
    <mergeCell ref="S22:T22"/>
    <mergeCell ref="U22:Z22"/>
    <mergeCell ref="C23:R23"/>
    <mergeCell ref="S23:T23"/>
    <mergeCell ref="U23:Z23"/>
    <mergeCell ref="U20:Z20"/>
    <mergeCell ref="U21:Z21"/>
    <mergeCell ref="S20:T20"/>
    <mergeCell ref="S21:T21"/>
    <mergeCell ref="C20:R20"/>
    <mergeCell ref="C21:R21"/>
    <mergeCell ref="C11:I11"/>
    <mergeCell ref="C12:I12"/>
    <mergeCell ref="C13:I13"/>
    <mergeCell ref="J11:Z11"/>
    <mergeCell ref="J12:Z12"/>
    <mergeCell ref="J13:Z13"/>
    <mergeCell ref="C6:Z6"/>
    <mergeCell ref="C7:Z8"/>
    <mergeCell ref="C17:H17"/>
    <mergeCell ref="I17:N17"/>
    <mergeCell ref="O17:T17"/>
    <mergeCell ref="U17:Z17"/>
    <mergeCell ref="C15:Z15"/>
    <mergeCell ref="C16:H16"/>
    <mergeCell ref="I16:N16"/>
    <mergeCell ref="O16:T16"/>
    <mergeCell ref="U16:Z16"/>
    <mergeCell ref="BW40:CT41"/>
    <mergeCell ref="CI11:CK11"/>
    <mergeCell ref="CL11:CN11"/>
    <mergeCell ref="BW7:BW11"/>
    <mergeCell ref="CD8:CE8"/>
    <mergeCell ref="CF8:CH8"/>
    <mergeCell ref="CI8:CK8"/>
    <mergeCell ref="CL8:CN8"/>
    <mergeCell ref="CD9:CE9"/>
    <mergeCell ref="CF9:CH9"/>
    <mergeCell ref="CI9:CK9"/>
    <mergeCell ref="CL9:CN9"/>
    <mergeCell ref="CO12:CQ12"/>
    <mergeCell ref="CO13:CQ13"/>
    <mergeCell ref="CD12:CE12"/>
    <mergeCell ref="CF12:CH12"/>
    <mergeCell ref="CI12:CK12"/>
    <mergeCell ref="CL12:CN12"/>
    <mergeCell ref="CD10:CE10"/>
    <mergeCell ref="CF10:CH10"/>
    <mergeCell ref="CI10:CK10"/>
    <mergeCell ref="CL10:CN10"/>
    <mergeCell ref="CO9:CQ9"/>
    <mergeCell ref="CD11:CE11"/>
    <mergeCell ref="CO8:CQ8"/>
    <mergeCell ref="CO10:CQ10"/>
    <mergeCell ref="CO11:CQ11"/>
    <mergeCell ref="CR12:CT12"/>
    <mergeCell ref="CR13:CT13"/>
    <mergeCell ref="CR14:CT14"/>
    <mergeCell ref="CR15:CT15"/>
    <mergeCell ref="CR16:CT16"/>
    <mergeCell ref="CR17:CT17"/>
    <mergeCell ref="CR8:CT8"/>
    <mergeCell ref="CR9:CT9"/>
    <mergeCell ref="CR10:CT10"/>
    <mergeCell ref="CR11:CT11"/>
    <mergeCell ref="CO14:CQ14"/>
    <mergeCell ref="BX8:BZ8"/>
    <mergeCell ref="BX9:BZ9"/>
    <mergeCell ref="BX10:BZ10"/>
    <mergeCell ref="BX11:BZ11"/>
    <mergeCell ref="BX12:BZ12"/>
    <mergeCell ref="BX13:BZ13"/>
    <mergeCell ref="BX14:BZ14"/>
    <mergeCell ref="BX15:BZ15"/>
    <mergeCell ref="BX16:BZ16"/>
    <mergeCell ref="CA18:CC18"/>
    <mergeCell ref="CA19:CC19"/>
    <mergeCell ref="CA20:CC20"/>
    <mergeCell ref="CA21:CC21"/>
    <mergeCell ref="CA22:CC22"/>
    <mergeCell ref="CA8:CC8"/>
    <mergeCell ref="CA9:CC9"/>
    <mergeCell ref="CA10:CC10"/>
    <mergeCell ref="CA11:CC11"/>
    <mergeCell ref="CA12:CC12"/>
    <mergeCell ref="CA13:CC13"/>
    <mergeCell ref="CA14:CC14"/>
    <mergeCell ref="CA15:CC15"/>
    <mergeCell ref="CA16:CC16"/>
  </mergeCells>
  <phoneticPr fontId="2"/>
  <printOptions horizontalCentered="1"/>
  <pageMargins left="0.59055118110236227" right="0.59055118110236227" top="0.74803149606299213" bottom="0.74803149606299213" header="0.31496062992125984" footer="0.31496062992125984"/>
  <pageSetup paperSize="9" orientation="portrait" r:id="rId1"/>
  <headerFooter>
    <oddFooter>&amp;C&amp;P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7937-34A7-4290-8DF3-145978BFB480}">
  <sheetPr codeName="Sheet1">
    <tabColor theme="0" tint="-0.499984740745262"/>
  </sheetPr>
  <dimension ref="A1:AC230"/>
  <sheetViews>
    <sheetView showGridLines="0" topLeftCell="A37" zoomScaleNormal="100" workbookViewId="0"/>
  </sheetViews>
  <sheetFormatPr defaultColWidth="8.75" defaultRowHeight="16.899999999999999" customHeight="1"/>
  <cols>
    <col min="1" max="1" width="4.75" style="1" customWidth="1"/>
    <col min="2" max="2" width="48.375" style="1" bestFit="1" customWidth="1"/>
    <col min="3" max="4" width="7.25" style="2" customWidth="1"/>
    <col min="5" max="5" width="36.5" style="1" bestFit="1" customWidth="1"/>
    <col min="6" max="6" width="2.75" style="1" customWidth="1"/>
    <col min="7" max="7" width="0.875" style="1" customWidth="1"/>
    <col min="8" max="8" width="7.25" style="1" customWidth="1"/>
    <col min="9" max="10" width="10.25" style="1" customWidth="1"/>
    <col min="11" max="11" width="10" style="1" customWidth="1"/>
    <col min="12" max="13" width="12.375" style="1" customWidth="1"/>
    <col min="14" max="14" width="14" style="1" customWidth="1"/>
    <col min="15" max="15" width="8.25" style="1" customWidth="1"/>
    <col min="16" max="16" width="9.625" style="1" customWidth="1"/>
    <col min="17" max="18" width="9.5" style="8" customWidth="1"/>
    <col min="19" max="19" width="9.25" style="8" customWidth="1"/>
    <col min="20" max="25" width="22.25" style="8" customWidth="1"/>
    <col min="26" max="26" width="22.25" style="1" customWidth="1"/>
    <col min="27" max="16384" width="8.75" style="1"/>
  </cols>
  <sheetData>
    <row r="1" spans="1:16" ht="16.899999999999999" customHeight="1">
      <c r="A1" s="7" t="s">
        <v>350</v>
      </c>
      <c r="C1" s="6"/>
      <c r="D1" s="6"/>
      <c r="E1" s="5"/>
      <c r="H1" s="7" t="s">
        <v>551</v>
      </c>
      <c r="K1" s="2"/>
      <c r="L1" s="2"/>
      <c r="N1" s="2"/>
      <c r="O1" s="2"/>
      <c r="P1" s="2"/>
    </row>
    <row r="2" spans="1:16" ht="16.899999999999999" customHeight="1">
      <c r="A2" s="18"/>
      <c r="B2" s="160" t="s">
        <v>552</v>
      </c>
      <c r="C2" s="381" t="s">
        <v>553</v>
      </c>
      <c r="D2" s="381"/>
      <c r="E2" s="161" t="s">
        <v>554</v>
      </c>
      <c r="H2" s="1" t="s">
        <v>555</v>
      </c>
      <c r="N2" s="2"/>
      <c r="O2" s="2"/>
      <c r="P2" s="2"/>
    </row>
    <row r="3" spans="1:16" ht="16.899999999999999" customHeight="1">
      <c r="A3" s="4" t="s">
        <v>556</v>
      </c>
      <c r="B3" s="15" t="s">
        <v>557</v>
      </c>
      <c r="C3" s="13">
        <f>C5*C4*4.186</f>
        <v>16011.449999999999</v>
      </c>
      <c r="D3" s="162" t="s">
        <v>12</v>
      </c>
      <c r="E3" s="163"/>
      <c r="H3" s="1" t="s">
        <v>558</v>
      </c>
      <c r="N3" s="2"/>
      <c r="O3" s="2"/>
      <c r="P3" s="2"/>
    </row>
    <row r="4" spans="1:16" ht="16.899999999999999" customHeight="1">
      <c r="A4" s="4" t="s">
        <v>559</v>
      </c>
      <c r="B4" s="15" t="s">
        <v>560</v>
      </c>
      <c r="C4" s="164">
        <v>5</v>
      </c>
      <c r="D4" s="162" t="s">
        <v>11</v>
      </c>
      <c r="E4" s="163"/>
      <c r="H4" s="1" t="s">
        <v>13</v>
      </c>
      <c r="N4" s="2"/>
      <c r="O4" s="2"/>
      <c r="P4" s="2"/>
    </row>
    <row r="5" spans="1:16" ht="16.899999999999999" customHeight="1">
      <c r="A5" s="4" t="s">
        <v>561</v>
      </c>
      <c r="B5" s="15" t="s">
        <v>562</v>
      </c>
      <c r="C5" s="165">
        <f>IF(C15=1,C21,IF(C15=2,C21*60,IF(C15=3,C21/1000,IF(C15=4,C21*60/1000,IF(C15=5,C21*3600/1000,"NA")))))*C6</f>
        <v>765</v>
      </c>
      <c r="D5" s="11" t="s">
        <v>563</v>
      </c>
      <c r="E5" s="163" t="s">
        <v>355</v>
      </c>
      <c r="H5" s="4" t="s">
        <v>2</v>
      </c>
      <c r="I5" s="4" t="s">
        <v>10</v>
      </c>
      <c r="N5" s="2"/>
      <c r="O5" s="2"/>
      <c r="P5" s="2"/>
    </row>
    <row r="6" spans="1:16" ht="16.899999999999999" customHeight="1">
      <c r="A6" s="4" t="s">
        <v>564</v>
      </c>
      <c r="B6" s="15" t="s">
        <v>565</v>
      </c>
      <c r="C6" s="166">
        <v>5</v>
      </c>
      <c r="D6" s="11" t="s">
        <v>1</v>
      </c>
      <c r="E6" s="163" t="s">
        <v>566</v>
      </c>
      <c r="H6" s="4" t="s">
        <v>567</v>
      </c>
      <c r="I6" s="4" t="s">
        <v>568</v>
      </c>
      <c r="N6" s="2"/>
      <c r="O6" s="2"/>
      <c r="P6" s="2"/>
    </row>
    <row r="7" spans="1:16" ht="16.899999999999999" customHeight="1">
      <c r="A7" s="4" t="s">
        <v>569</v>
      </c>
      <c r="B7" s="167" t="s">
        <v>570</v>
      </c>
      <c r="C7" s="168">
        <v>219.52</v>
      </c>
      <c r="D7" s="11" t="s">
        <v>0</v>
      </c>
      <c r="E7" s="169" t="s">
        <v>571</v>
      </c>
      <c r="F7" s="3"/>
      <c r="H7" s="4" t="s">
        <v>563</v>
      </c>
      <c r="I7" s="4" t="s">
        <v>0</v>
      </c>
      <c r="N7" s="2"/>
      <c r="O7" s="2"/>
      <c r="P7" s="2"/>
    </row>
    <row r="8" spans="1:16" ht="16.899999999999999" customHeight="1">
      <c r="A8" s="4" t="s">
        <v>572</v>
      </c>
      <c r="B8" s="167" t="s">
        <v>573</v>
      </c>
      <c r="C8" s="170">
        <v>50</v>
      </c>
      <c r="D8" s="11" t="s">
        <v>0</v>
      </c>
      <c r="E8" s="169" t="s">
        <v>574</v>
      </c>
      <c r="F8" s="25"/>
      <c r="H8" s="171">
        <v>0</v>
      </c>
      <c r="I8" s="172">
        <f>C8</f>
        <v>50</v>
      </c>
      <c r="N8" s="2"/>
      <c r="O8" s="2"/>
      <c r="P8" s="2"/>
    </row>
    <row r="9" spans="1:16" ht="16.899999999999999" customHeight="1">
      <c r="A9" s="4" t="s">
        <v>575</v>
      </c>
      <c r="B9" s="15" t="s">
        <v>576</v>
      </c>
      <c r="C9" s="173">
        <v>1</v>
      </c>
      <c r="D9" s="11" t="s">
        <v>5</v>
      </c>
      <c r="E9" s="163" t="s">
        <v>577</v>
      </c>
      <c r="H9" s="171">
        <f>C5</f>
        <v>765</v>
      </c>
      <c r="I9" s="174">
        <f>C7</f>
        <v>219.52</v>
      </c>
      <c r="N9" s="2"/>
      <c r="O9" s="2"/>
      <c r="P9" s="2"/>
    </row>
    <row r="10" spans="1:16" ht="16.899999999999999" customHeight="1">
      <c r="A10" s="4" t="s">
        <v>578</v>
      </c>
      <c r="B10" s="16" t="s">
        <v>38</v>
      </c>
      <c r="C10" s="175">
        <f>(C5/C6)*C9</f>
        <v>153</v>
      </c>
      <c r="D10" s="176" t="s">
        <v>579</v>
      </c>
      <c r="E10" s="177" t="s">
        <v>40</v>
      </c>
      <c r="H10" s="1" t="s">
        <v>14</v>
      </c>
      <c r="N10" s="2"/>
      <c r="O10" s="2"/>
      <c r="P10" s="2"/>
    </row>
    <row r="11" spans="1:16" ht="16.899999999999999" customHeight="1">
      <c r="A11" s="4" t="s">
        <v>580</v>
      </c>
      <c r="B11" s="16" t="s">
        <v>37</v>
      </c>
      <c r="C11" s="175">
        <f>IF(C17=1,C23,IF(C17=2,C23/1000,"NA"))*C6</f>
        <v>110</v>
      </c>
      <c r="D11" s="176" t="s">
        <v>4</v>
      </c>
      <c r="E11" s="177" t="s">
        <v>39</v>
      </c>
      <c r="F11" s="3"/>
      <c r="H11" s="382" t="s">
        <v>9</v>
      </c>
      <c r="I11" s="383"/>
      <c r="J11" s="179"/>
      <c r="N11" s="2"/>
      <c r="O11" s="2"/>
      <c r="P11" s="2"/>
    </row>
    <row r="12" spans="1:16" ht="16.899999999999999" customHeight="1">
      <c r="H12" s="180" t="s">
        <v>19</v>
      </c>
      <c r="I12" s="181">
        <f>SLOPE(I8:I9,H8:H9)</f>
        <v>0.22159477124183011</v>
      </c>
      <c r="N12" s="2"/>
      <c r="O12" s="2"/>
      <c r="P12" s="2"/>
    </row>
    <row r="13" spans="1:16" ht="16.899999999999999" customHeight="1">
      <c r="A13" s="7" t="s">
        <v>349</v>
      </c>
      <c r="H13" s="4" t="s">
        <v>6</v>
      </c>
      <c r="I13" s="156">
        <f>INTERCEPT(I8:I9,H8:H9)</f>
        <v>49.999999999999972</v>
      </c>
      <c r="N13" s="2"/>
      <c r="O13" s="2"/>
      <c r="P13" s="2"/>
    </row>
    <row r="14" spans="1:16" ht="16.899999999999999" customHeight="1">
      <c r="A14" s="9" t="s">
        <v>22</v>
      </c>
      <c r="C14" s="8"/>
      <c r="D14" s="8" t="s">
        <v>351</v>
      </c>
      <c r="G14" s="12"/>
      <c r="H14" s="12"/>
      <c r="I14" s="12"/>
      <c r="J14" s="12"/>
      <c r="K14" s="12"/>
      <c r="L14" s="12"/>
      <c r="N14" s="2"/>
      <c r="O14" s="2"/>
      <c r="P14" s="2"/>
    </row>
    <row r="15" spans="1:16" ht="16.899999999999999" customHeight="1">
      <c r="A15" s="18" t="s">
        <v>409</v>
      </c>
      <c r="B15" s="16" t="s">
        <v>581</v>
      </c>
      <c r="C15" s="182">
        <v>1</v>
      </c>
      <c r="D15" s="56" t="s">
        <v>352</v>
      </c>
      <c r="G15" s="12"/>
      <c r="H15" s="12"/>
      <c r="I15" s="12"/>
      <c r="J15" s="12"/>
      <c r="K15" s="12"/>
      <c r="L15" s="12"/>
    </row>
    <row r="16" spans="1:16" ht="16.899999999999999" customHeight="1">
      <c r="A16" s="18" t="s">
        <v>582</v>
      </c>
      <c r="B16" s="16" t="s">
        <v>583</v>
      </c>
      <c r="C16" s="182">
        <v>2</v>
      </c>
      <c r="D16" s="55" t="s">
        <v>352</v>
      </c>
      <c r="E16" s="8"/>
      <c r="G16" s="12"/>
      <c r="H16" s="12"/>
      <c r="I16" s="12"/>
      <c r="J16" s="12"/>
      <c r="K16" s="12"/>
      <c r="L16" s="12"/>
    </row>
    <row r="17" spans="1:18" ht="16.899999999999999" customHeight="1">
      <c r="A17" s="18" t="s">
        <v>410</v>
      </c>
      <c r="B17" s="16" t="s">
        <v>584</v>
      </c>
      <c r="C17" s="182">
        <v>1</v>
      </c>
      <c r="D17" s="56" t="s">
        <v>352</v>
      </c>
      <c r="E17" s="8"/>
      <c r="G17" s="12"/>
      <c r="I17" s="2"/>
      <c r="N17" s="2"/>
      <c r="O17" s="2"/>
      <c r="Q17" s="1"/>
      <c r="R17" s="1"/>
    </row>
    <row r="18" spans="1:18" ht="16.899999999999999" customHeight="1" thickBot="1">
      <c r="A18" s="18" t="s">
        <v>27</v>
      </c>
      <c r="B18" s="16" t="s">
        <v>585</v>
      </c>
      <c r="C18" s="182">
        <v>2</v>
      </c>
      <c r="D18" s="55" t="s">
        <v>352</v>
      </c>
      <c r="E18" s="8"/>
      <c r="G18" s="12"/>
      <c r="H18" s="1" t="s">
        <v>586</v>
      </c>
      <c r="I18" s="2"/>
      <c r="N18" s="2"/>
      <c r="O18" s="2"/>
      <c r="Q18" s="1"/>
      <c r="R18" s="1"/>
    </row>
    <row r="19" spans="1:18" ht="16.899999999999999" customHeight="1" thickTop="1">
      <c r="A19" s="18" t="s">
        <v>411</v>
      </c>
      <c r="B19" s="16" t="s">
        <v>587</v>
      </c>
      <c r="C19" s="182">
        <v>2</v>
      </c>
      <c r="D19" s="56" t="s">
        <v>352</v>
      </c>
      <c r="E19" s="8"/>
      <c r="G19" s="12"/>
      <c r="H19" s="384" t="s">
        <v>429</v>
      </c>
      <c r="I19" s="385" t="s">
        <v>588</v>
      </c>
      <c r="J19" s="385" t="s">
        <v>589</v>
      </c>
      <c r="K19" s="386" t="s">
        <v>590</v>
      </c>
      <c r="L19" s="387" t="s">
        <v>591</v>
      </c>
      <c r="M19" s="389" t="s">
        <v>592</v>
      </c>
      <c r="N19" s="387" t="s">
        <v>593</v>
      </c>
      <c r="O19" s="391" t="s">
        <v>594</v>
      </c>
      <c r="P19" s="388" t="s">
        <v>595</v>
      </c>
      <c r="Q19" s="393" t="s">
        <v>596</v>
      </c>
      <c r="R19" s="393" t="s">
        <v>597</v>
      </c>
    </row>
    <row r="20" spans="1:18" ht="16.899999999999999" customHeight="1">
      <c r="A20" s="24" t="s">
        <v>32</v>
      </c>
      <c r="B20" s="22"/>
      <c r="C20" s="23"/>
      <c r="D20" s="54"/>
      <c r="E20" s="8"/>
      <c r="G20" s="12"/>
      <c r="H20" s="384"/>
      <c r="I20" s="385"/>
      <c r="J20" s="385"/>
      <c r="K20" s="386"/>
      <c r="L20" s="388"/>
      <c r="M20" s="390"/>
      <c r="N20" s="388"/>
      <c r="O20" s="392"/>
      <c r="P20" s="388"/>
      <c r="Q20" s="393"/>
      <c r="R20" s="393"/>
    </row>
    <row r="21" spans="1:18" ht="16.899999999999999" customHeight="1">
      <c r="A21" s="18" t="s">
        <v>412</v>
      </c>
      <c r="B21" s="16" t="s">
        <v>598</v>
      </c>
      <c r="C21" s="182">
        <v>153</v>
      </c>
      <c r="D21" s="56" t="s">
        <v>352</v>
      </c>
      <c r="E21" s="19"/>
      <c r="H21" s="384"/>
      <c r="I21" s="4" t="s">
        <v>579</v>
      </c>
      <c r="J21" s="4" t="s">
        <v>5</v>
      </c>
      <c r="K21" s="178" t="s">
        <v>1</v>
      </c>
      <c r="L21" s="183" t="s">
        <v>579</v>
      </c>
      <c r="M21" s="184" t="s">
        <v>0</v>
      </c>
      <c r="N21" s="183" t="s">
        <v>4</v>
      </c>
      <c r="O21" s="185" t="s">
        <v>53</v>
      </c>
      <c r="P21" s="183" t="s">
        <v>5</v>
      </c>
      <c r="Q21" s="176" t="s">
        <v>4</v>
      </c>
      <c r="R21" s="176" t="s">
        <v>5</v>
      </c>
    </row>
    <row r="22" spans="1:18" ht="16.899999999999999" customHeight="1">
      <c r="A22" s="18" t="s">
        <v>599</v>
      </c>
      <c r="B22" s="16" t="s">
        <v>600</v>
      </c>
      <c r="C22" s="186">
        <v>32</v>
      </c>
      <c r="D22" s="56" t="s">
        <v>352</v>
      </c>
      <c r="E22" s="19"/>
      <c r="H22" s="4">
        <v>1</v>
      </c>
      <c r="I22" s="187">
        <f t="shared" ref="I22:I31" si="0">$C$5/$H$31*H22</f>
        <v>76.5</v>
      </c>
      <c r="J22" s="188">
        <f>I22/$C$5</f>
        <v>0.1</v>
      </c>
      <c r="K22" s="189">
        <f t="shared" ref="K22:K31" si="1">IF(ROUNDUP(I22/$C$10,0)&gt;$C$6,$C$6,ROUNDUP(I22/$C$10,0))</f>
        <v>1</v>
      </c>
      <c r="L22" s="190">
        <f>I22/K22</f>
        <v>76.5</v>
      </c>
      <c r="M22" s="191">
        <f t="shared" ref="M22:M31" si="2">$I$12*I22+$I$13</f>
        <v>66.95199999999997</v>
      </c>
      <c r="N22" s="192"/>
      <c r="O22" s="193"/>
      <c r="P22" s="194">
        <f>(O22*60)/$C$24</f>
        <v>0</v>
      </c>
      <c r="Q22" s="195">
        <f>N22*K22</f>
        <v>0</v>
      </c>
      <c r="R22" s="196">
        <f>Q22/$C$11</f>
        <v>0</v>
      </c>
    </row>
    <row r="23" spans="1:18" ht="16.899999999999999" customHeight="1">
      <c r="A23" s="18" t="s">
        <v>413</v>
      </c>
      <c r="B23" s="16" t="s">
        <v>601</v>
      </c>
      <c r="C23" s="182">
        <v>22</v>
      </c>
      <c r="D23" s="56" t="s">
        <v>352</v>
      </c>
      <c r="E23" s="19"/>
      <c r="H23" s="4">
        <v>2</v>
      </c>
      <c r="I23" s="187">
        <f t="shared" si="0"/>
        <v>153</v>
      </c>
      <c r="J23" s="188">
        <f t="shared" ref="J23:J31" si="3">I23/$C$5</f>
        <v>0.2</v>
      </c>
      <c r="K23" s="189">
        <f t="shared" si="1"/>
        <v>1</v>
      </c>
      <c r="L23" s="190">
        <f t="shared" ref="L23:L30" si="4">I23/K23</f>
        <v>153</v>
      </c>
      <c r="M23" s="191">
        <f t="shared" si="2"/>
        <v>83.903999999999968</v>
      </c>
      <c r="N23" s="192"/>
      <c r="O23" s="193"/>
      <c r="P23" s="194">
        <f t="shared" ref="P23:P31" si="5">(O23*60)/$C$24</f>
        <v>0</v>
      </c>
      <c r="Q23" s="195">
        <f t="shared" ref="Q23:Q31" si="6">N23*K23</f>
        <v>0</v>
      </c>
      <c r="R23" s="196">
        <f t="shared" ref="R23:R31" si="7">Q23/$C$11</f>
        <v>0</v>
      </c>
    </row>
    <row r="24" spans="1:18" ht="16.899999999999999" customHeight="1">
      <c r="A24" s="18" t="s">
        <v>414</v>
      </c>
      <c r="B24" s="16" t="s">
        <v>602</v>
      </c>
      <c r="C24" s="182">
        <v>1800</v>
      </c>
      <c r="D24" s="56" t="s">
        <v>352</v>
      </c>
      <c r="E24" s="19"/>
      <c r="H24" s="4">
        <v>3</v>
      </c>
      <c r="I24" s="187">
        <f t="shared" si="0"/>
        <v>229.5</v>
      </c>
      <c r="J24" s="188">
        <f t="shared" si="3"/>
        <v>0.3</v>
      </c>
      <c r="K24" s="189">
        <f t="shared" si="1"/>
        <v>2</v>
      </c>
      <c r="L24" s="190">
        <f t="shared" si="4"/>
        <v>114.75</v>
      </c>
      <c r="M24" s="191">
        <f t="shared" si="2"/>
        <v>100.85599999999998</v>
      </c>
      <c r="N24" s="192"/>
      <c r="O24" s="193"/>
      <c r="P24" s="194">
        <f t="shared" si="5"/>
        <v>0</v>
      </c>
      <c r="Q24" s="195">
        <f t="shared" si="6"/>
        <v>0</v>
      </c>
      <c r="R24" s="196">
        <f t="shared" si="7"/>
        <v>0</v>
      </c>
    </row>
    <row r="25" spans="1:18" ht="16.899999999999999" customHeight="1">
      <c r="A25" s="18" t="s">
        <v>603</v>
      </c>
      <c r="B25" s="197" t="s">
        <v>604</v>
      </c>
      <c r="C25" s="182">
        <v>60</v>
      </c>
      <c r="D25" s="56" t="s">
        <v>352</v>
      </c>
      <c r="E25" s="19"/>
      <c r="H25" s="4">
        <v>4</v>
      </c>
      <c r="I25" s="187">
        <f t="shared" si="0"/>
        <v>306</v>
      </c>
      <c r="J25" s="188">
        <f t="shared" si="3"/>
        <v>0.4</v>
      </c>
      <c r="K25" s="189">
        <f t="shared" si="1"/>
        <v>2</v>
      </c>
      <c r="L25" s="190">
        <f t="shared" si="4"/>
        <v>153</v>
      </c>
      <c r="M25" s="191">
        <f t="shared" si="2"/>
        <v>117.80799999999998</v>
      </c>
      <c r="N25" s="192"/>
      <c r="O25" s="193"/>
      <c r="P25" s="194">
        <f t="shared" si="5"/>
        <v>0</v>
      </c>
      <c r="Q25" s="195">
        <f t="shared" si="6"/>
        <v>0</v>
      </c>
      <c r="R25" s="196">
        <f t="shared" si="7"/>
        <v>0</v>
      </c>
    </row>
    <row r="26" spans="1:18" ht="16.899999999999999" customHeight="1">
      <c r="A26" s="24" t="s">
        <v>33</v>
      </c>
      <c r="B26" s="22"/>
      <c r="C26" s="23"/>
      <c r="D26" s="55"/>
      <c r="E26" s="8"/>
      <c r="H26" s="4">
        <v>5</v>
      </c>
      <c r="I26" s="187">
        <f t="shared" si="0"/>
        <v>382.5</v>
      </c>
      <c r="J26" s="188">
        <f t="shared" si="3"/>
        <v>0.5</v>
      </c>
      <c r="K26" s="189">
        <f t="shared" si="1"/>
        <v>3</v>
      </c>
      <c r="L26" s="190">
        <f t="shared" si="4"/>
        <v>127.5</v>
      </c>
      <c r="M26" s="191">
        <f t="shared" si="2"/>
        <v>134.76</v>
      </c>
      <c r="N26" s="192"/>
      <c r="O26" s="193"/>
      <c r="P26" s="194">
        <f t="shared" si="5"/>
        <v>0</v>
      </c>
      <c r="Q26" s="195">
        <f t="shared" si="6"/>
        <v>0</v>
      </c>
      <c r="R26" s="196">
        <f t="shared" si="7"/>
        <v>0</v>
      </c>
    </row>
    <row r="27" spans="1:18" ht="16.899999999999999" customHeight="1">
      <c r="A27" s="18" t="s">
        <v>415</v>
      </c>
      <c r="B27" s="16" t="s">
        <v>605</v>
      </c>
      <c r="C27" s="198">
        <v>1.1000000000000001</v>
      </c>
      <c r="D27" s="56" t="s">
        <v>352</v>
      </c>
      <c r="H27" s="4">
        <v>6</v>
      </c>
      <c r="I27" s="187">
        <f t="shared" si="0"/>
        <v>459</v>
      </c>
      <c r="J27" s="188">
        <f t="shared" si="3"/>
        <v>0.6</v>
      </c>
      <c r="K27" s="189">
        <f t="shared" si="1"/>
        <v>3</v>
      </c>
      <c r="L27" s="190">
        <f t="shared" si="4"/>
        <v>153</v>
      </c>
      <c r="M27" s="191">
        <f t="shared" si="2"/>
        <v>151.71199999999999</v>
      </c>
      <c r="N27" s="192"/>
      <c r="O27" s="193"/>
      <c r="P27" s="194">
        <f t="shared" si="5"/>
        <v>0</v>
      </c>
      <c r="Q27" s="195">
        <f t="shared" si="6"/>
        <v>0</v>
      </c>
      <c r="R27" s="196">
        <f t="shared" si="7"/>
        <v>0</v>
      </c>
    </row>
    <row r="28" spans="1:18" ht="16.899999999999999" customHeight="1">
      <c r="A28" s="18" t="s">
        <v>416</v>
      </c>
      <c r="B28" s="16" t="s">
        <v>606</v>
      </c>
      <c r="C28" s="199">
        <v>0.03</v>
      </c>
      <c r="D28" s="56" t="s">
        <v>352</v>
      </c>
      <c r="H28" s="4">
        <v>7</v>
      </c>
      <c r="I28" s="187">
        <f t="shared" si="0"/>
        <v>535.5</v>
      </c>
      <c r="J28" s="188">
        <f t="shared" si="3"/>
        <v>0.7</v>
      </c>
      <c r="K28" s="189">
        <f t="shared" si="1"/>
        <v>4</v>
      </c>
      <c r="L28" s="190">
        <f t="shared" si="4"/>
        <v>133.875</v>
      </c>
      <c r="M28" s="191">
        <f t="shared" si="2"/>
        <v>168.66399999999999</v>
      </c>
      <c r="N28" s="192"/>
      <c r="O28" s="193"/>
      <c r="P28" s="194">
        <f t="shared" si="5"/>
        <v>0</v>
      </c>
      <c r="Q28" s="195">
        <f t="shared" si="6"/>
        <v>0</v>
      </c>
      <c r="R28" s="196">
        <f t="shared" si="7"/>
        <v>0</v>
      </c>
    </row>
    <row r="29" spans="1:18" ht="16.899999999999999" customHeight="1">
      <c r="A29" s="18" t="s">
        <v>607</v>
      </c>
      <c r="B29" s="16" t="s">
        <v>608</v>
      </c>
      <c r="C29" s="198">
        <v>1</v>
      </c>
      <c r="D29" s="56" t="s">
        <v>352</v>
      </c>
      <c r="E29" s="8"/>
      <c r="H29" s="4">
        <v>8</v>
      </c>
      <c r="I29" s="187">
        <f t="shared" si="0"/>
        <v>612</v>
      </c>
      <c r="J29" s="188">
        <f t="shared" si="3"/>
        <v>0.8</v>
      </c>
      <c r="K29" s="189">
        <f t="shared" si="1"/>
        <v>4</v>
      </c>
      <c r="L29" s="190">
        <f t="shared" si="4"/>
        <v>153</v>
      </c>
      <c r="M29" s="191">
        <f t="shared" si="2"/>
        <v>185.61599999999999</v>
      </c>
      <c r="N29" s="192"/>
      <c r="O29" s="193"/>
      <c r="P29" s="194">
        <f t="shared" si="5"/>
        <v>0</v>
      </c>
      <c r="Q29" s="195">
        <f t="shared" si="6"/>
        <v>0</v>
      </c>
      <c r="R29" s="196">
        <f t="shared" si="7"/>
        <v>0</v>
      </c>
    </row>
    <row r="30" spans="1:18" ht="16.899999999999999" customHeight="1">
      <c r="A30" s="18" t="s">
        <v>609</v>
      </c>
      <c r="B30" s="16" t="s">
        <v>610</v>
      </c>
      <c r="C30" s="198">
        <v>0.2</v>
      </c>
      <c r="D30" s="56" t="s">
        <v>352</v>
      </c>
      <c r="E30" s="8"/>
      <c r="H30" s="4">
        <v>9</v>
      </c>
      <c r="I30" s="187">
        <f t="shared" si="0"/>
        <v>688.5</v>
      </c>
      <c r="J30" s="188">
        <f t="shared" si="3"/>
        <v>0.9</v>
      </c>
      <c r="K30" s="189">
        <f t="shared" si="1"/>
        <v>5</v>
      </c>
      <c r="L30" s="190">
        <f t="shared" si="4"/>
        <v>137.69999999999999</v>
      </c>
      <c r="M30" s="191">
        <f t="shared" si="2"/>
        <v>202.56800000000001</v>
      </c>
      <c r="N30" s="192"/>
      <c r="O30" s="193"/>
      <c r="P30" s="194">
        <f t="shared" si="5"/>
        <v>0</v>
      </c>
      <c r="Q30" s="195">
        <f t="shared" si="6"/>
        <v>0</v>
      </c>
      <c r="R30" s="196">
        <f t="shared" si="7"/>
        <v>0</v>
      </c>
    </row>
    <row r="31" spans="1:18" ht="16.899999999999999" customHeight="1">
      <c r="A31" s="24" t="s">
        <v>34</v>
      </c>
      <c r="B31" s="22"/>
      <c r="C31" s="23"/>
      <c r="D31" s="55"/>
      <c r="E31" s="8"/>
      <c r="H31" s="4">
        <v>10</v>
      </c>
      <c r="I31" s="187">
        <f t="shared" si="0"/>
        <v>765</v>
      </c>
      <c r="J31" s="188">
        <f t="shared" si="3"/>
        <v>1</v>
      </c>
      <c r="K31" s="189">
        <f t="shared" si="1"/>
        <v>5</v>
      </c>
      <c r="L31" s="200">
        <f>I31/K31</f>
        <v>153</v>
      </c>
      <c r="M31" s="201">
        <f t="shared" si="2"/>
        <v>219.52</v>
      </c>
      <c r="N31" s="202"/>
      <c r="O31" s="203"/>
      <c r="P31" s="194">
        <f t="shared" si="5"/>
        <v>0</v>
      </c>
      <c r="Q31" s="195">
        <f t="shared" si="6"/>
        <v>0</v>
      </c>
      <c r="R31" s="196">
        <f t="shared" si="7"/>
        <v>0</v>
      </c>
    </row>
    <row r="32" spans="1:18" ht="16.899999999999999" customHeight="1" thickBot="1">
      <c r="A32" s="18" t="s">
        <v>417</v>
      </c>
      <c r="B32" s="16" t="s">
        <v>611</v>
      </c>
      <c r="C32" s="182">
        <v>1</v>
      </c>
      <c r="D32" s="56" t="s">
        <v>352</v>
      </c>
      <c r="E32" s="8"/>
      <c r="L32" s="394" t="s">
        <v>612</v>
      </c>
      <c r="M32" s="395"/>
      <c r="N32" s="396" t="s">
        <v>613</v>
      </c>
      <c r="O32" s="397"/>
      <c r="R32" s="1"/>
    </row>
    <row r="33" spans="1:25" ht="16.899999999999999" customHeight="1" thickTop="1">
      <c r="A33" s="18" t="s">
        <v>614</v>
      </c>
      <c r="B33" s="16" t="s">
        <v>615</v>
      </c>
      <c r="C33" s="182">
        <v>2</v>
      </c>
      <c r="D33" s="56" t="s">
        <v>352</v>
      </c>
      <c r="E33" s="8"/>
      <c r="R33" s="1"/>
    </row>
    <row r="34" spans="1:25" ht="16.899999999999999" customHeight="1">
      <c r="A34" s="18" t="s">
        <v>418</v>
      </c>
      <c r="B34" s="16" t="s">
        <v>616</v>
      </c>
      <c r="C34" s="204">
        <v>3</v>
      </c>
      <c r="D34" s="56" t="s">
        <v>352</v>
      </c>
      <c r="E34" s="8"/>
      <c r="H34" s="1" t="s">
        <v>25</v>
      </c>
      <c r="M34" s="2"/>
      <c r="N34" s="2"/>
      <c r="O34" s="2"/>
    </row>
    <row r="35" spans="1:25" ht="16.899999999999999" customHeight="1">
      <c r="A35" s="18" t="s">
        <v>30</v>
      </c>
      <c r="B35" s="17" t="s">
        <v>23</v>
      </c>
      <c r="C35" s="376" t="s">
        <v>348</v>
      </c>
      <c r="D35" s="377"/>
      <c r="E35" s="377"/>
      <c r="H35" s="57"/>
      <c r="I35" s="1" t="s">
        <v>353</v>
      </c>
      <c r="M35" s="2"/>
      <c r="N35" s="2"/>
      <c r="O35" s="2"/>
    </row>
    <row r="36" spans="1:25" ht="16.899999999999999" customHeight="1">
      <c r="A36" s="24" t="s">
        <v>35</v>
      </c>
      <c r="B36" s="22"/>
      <c r="C36" s="21"/>
      <c r="D36" s="10"/>
      <c r="M36" s="2"/>
    </row>
    <row r="37" spans="1:25" ht="16.899999999999999" customHeight="1">
      <c r="A37" s="18" t="s">
        <v>31</v>
      </c>
      <c r="B37" s="16" t="s">
        <v>24</v>
      </c>
      <c r="C37" s="376" t="s">
        <v>347</v>
      </c>
      <c r="D37" s="378"/>
      <c r="E37" s="378"/>
      <c r="H37" s="13"/>
      <c r="I37" s="1" t="s">
        <v>26</v>
      </c>
      <c r="M37" s="2"/>
    </row>
    <row r="38" spans="1:25" ht="16.899999999999999" customHeight="1">
      <c r="A38" s="7" t="s">
        <v>36</v>
      </c>
      <c r="B38" s="9"/>
      <c r="C38" s="10"/>
      <c r="D38" s="10"/>
      <c r="M38" s="2"/>
    </row>
    <row r="39" spans="1:25" ht="16.899999999999999" customHeight="1">
      <c r="A39" s="20" t="s">
        <v>28</v>
      </c>
      <c r="B39" s="15" t="s">
        <v>20</v>
      </c>
      <c r="C39" s="11" t="s">
        <v>5</v>
      </c>
      <c r="H39" s="14"/>
      <c r="I39" s="1" t="s">
        <v>354</v>
      </c>
      <c r="M39" s="2"/>
    </row>
    <row r="40" spans="1:25" ht="16.899999999999999" customHeight="1">
      <c r="A40" s="20" t="s">
        <v>29</v>
      </c>
      <c r="B40" s="15" t="s">
        <v>21</v>
      </c>
      <c r="C40" s="11" t="s">
        <v>5</v>
      </c>
    </row>
    <row r="41" spans="1:25" ht="16.899999999999999" customHeight="1">
      <c r="B41" s="8" t="s">
        <v>356</v>
      </c>
      <c r="C41" s="10"/>
      <c r="D41" s="10"/>
    </row>
    <row r="42" spans="1:25" ht="16.899999999999999" customHeight="1">
      <c r="B42" s="8"/>
      <c r="C42" s="10"/>
      <c r="D42" s="10"/>
      <c r="I42" s="1" t="s">
        <v>617</v>
      </c>
    </row>
    <row r="43" spans="1:25" ht="16.899999999999999" customHeight="1">
      <c r="B43" s="8"/>
      <c r="C43" s="10"/>
      <c r="D43" s="10"/>
    </row>
    <row r="44" spans="1:25" ht="16.899999999999999" customHeight="1">
      <c r="B44" s="8"/>
      <c r="C44" s="10"/>
      <c r="D44" s="10"/>
    </row>
    <row r="45" spans="1:25" ht="16.899999999999999" customHeight="1">
      <c r="B45" s="58"/>
      <c r="C45" s="10"/>
      <c r="D45" s="10"/>
      <c r="M45" s="2"/>
    </row>
    <row r="46" spans="1:25" ht="16.899999999999999" customHeight="1">
      <c r="B46" s="8"/>
      <c r="C46" s="10"/>
      <c r="D46" s="10"/>
      <c r="M46" s="2"/>
      <c r="T46" s="1"/>
      <c r="U46" s="1"/>
      <c r="V46" s="1"/>
      <c r="W46" s="1"/>
      <c r="X46" s="1"/>
      <c r="Y46" s="1"/>
    </row>
    <row r="47" spans="1:25" ht="16.899999999999999" customHeight="1">
      <c r="A47" s="7" t="s">
        <v>361</v>
      </c>
      <c r="B47" s="8"/>
      <c r="C47" s="10"/>
      <c r="D47" s="10"/>
      <c r="M47" s="2"/>
      <c r="N47" s="2"/>
      <c r="O47" s="2"/>
      <c r="T47" s="1"/>
      <c r="U47" s="1"/>
      <c r="V47" s="1"/>
      <c r="W47" s="1"/>
      <c r="X47" s="1"/>
      <c r="Y47" s="1"/>
    </row>
    <row r="48" spans="1:25" ht="16.899999999999999" customHeight="1">
      <c r="A48" s="205" t="s">
        <v>618</v>
      </c>
      <c r="B48" s="206" t="s">
        <v>357</v>
      </c>
      <c r="C48" s="379">
        <f>O52</f>
        <v>0</v>
      </c>
      <c r="D48" s="380"/>
      <c r="M48" s="2"/>
      <c r="N48" s="2"/>
      <c r="O48" s="2"/>
      <c r="T48" s="1"/>
      <c r="U48" s="1"/>
      <c r="V48" s="1"/>
      <c r="W48" s="1"/>
      <c r="X48" s="1"/>
      <c r="Y48" s="1"/>
    </row>
    <row r="49" spans="1:25" ht="16.899999999999999" customHeight="1">
      <c r="A49" s="205" t="s">
        <v>619</v>
      </c>
      <c r="B49" s="206" t="s">
        <v>359</v>
      </c>
      <c r="C49" s="379">
        <f t="shared" ref="C49:C51" si="8">O53</f>
        <v>0</v>
      </c>
      <c r="D49" s="380"/>
      <c r="M49" s="2"/>
      <c r="T49" s="1"/>
      <c r="U49" s="1"/>
      <c r="V49" s="1"/>
      <c r="W49" s="1"/>
      <c r="X49" s="1"/>
      <c r="Y49" s="1"/>
    </row>
    <row r="50" spans="1:25" ht="16.899999999999999" customHeight="1">
      <c r="A50" s="205" t="s">
        <v>620</v>
      </c>
      <c r="B50" s="206" t="s">
        <v>358</v>
      </c>
      <c r="C50" s="379">
        <f t="shared" si="8"/>
        <v>0</v>
      </c>
      <c r="D50" s="380"/>
      <c r="T50" s="1"/>
      <c r="U50" s="1"/>
      <c r="V50" s="1"/>
      <c r="W50" s="1"/>
      <c r="X50" s="1"/>
      <c r="Y50" s="1"/>
    </row>
    <row r="51" spans="1:25" ht="16.899999999999999" customHeight="1">
      <c r="A51" s="205" t="s">
        <v>621</v>
      </c>
      <c r="B51" s="206" t="s">
        <v>360</v>
      </c>
      <c r="C51" s="379">
        <f t="shared" si="8"/>
        <v>0</v>
      </c>
      <c r="D51" s="380"/>
      <c r="N51" s="398" t="s">
        <v>9</v>
      </c>
      <c r="O51" s="399"/>
      <c r="P51" s="400"/>
      <c r="T51" s="1"/>
      <c r="U51" s="1"/>
      <c r="V51" s="1"/>
      <c r="W51" s="1"/>
      <c r="X51" s="1"/>
      <c r="Y51" s="1"/>
    </row>
    <row r="52" spans="1:25" ht="16.899999999999999" customHeight="1">
      <c r="C52" s="1"/>
      <c r="D52" s="10"/>
      <c r="N52" s="205" t="s">
        <v>357</v>
      </c>
      <c r="O52" s="379" cm="1">
        <f t="array" ref="O52">INDEX(LINEST(R22:R31,J22:J31^{1,2,3},TRUE),1,1)</f>
        <v>0</v>
      </c>
      <c r="P52" s="379"/>
      <c r="T52" s="1"/>
      <c r="U52" s="1"/>
      <c r="V52" s="1"/>
      <c r="W52" s="1"/>
      <c r="X52" s="1"/>
      <c r="Y52" s="1"/>
    </row>
    <row r="53" spans="1:25" ht="16.899999999999999" customHeight="1">
      <c r="D53" s="10"/>
      <c r="N53" s="205" t="s">
        <v>359</v>
      </c>
      <c r="O53" s="379" cm="1">
        <f t="array" ref="O53">INDEX(LINEST(R22:R31,J22:J31^{1,2,3},TRUE),1,2)</f>
        <v>0</v>
      </c>
      <c r="P53" s="379"/>
      <c r="T53" s="1"/>
      <c r="U53" s="1"/>
      <c r="V53" s="1"/>
      <c r="W53" s="1"/>
      <c r="X53" s="1"/>
      <c r="Y53" s="1"/>
    </row>
    <row r="54" spans="1:25" ht="16.899999999999999" customHeight="1">
      <c r="C54" s="1"/>
      <c r="D54" s="1"/>
      <c r="N54" s="205" t="s">
        <v>358</v>
      </c>
      <c r="O54" s="379" cm="1">
        <f t="array" ref="O54">INDEX(LINEST(R22:R31,J22:J31^{1,2,3},TRUE),1,3)</f>
        <v>0</v>
      </c>
      <c r="P54" s="379"/>
      <c r="T54" s="1"/>
      <c r="U54" s="1"/>
      <c r="V54" s="1"/>
      <c r="W54" s="1"/>
      <c r="X54" s="1"/>
      <c r="Y54" s="1"/>
    </row>
    <row r="55" spans="1:25" ht="16.899999999999999" customHeight="1">
      <c r="C55" s="1"/>
      <c r="D55" s="1"/>
      <c r="N55" s="205" t="s">
        <v>360</v>
      </c>
      <c r="O55" s="380" cm="1">
        <f t="array" ref="O55">INDEX(LINEST(R22:R31,J22:J31^{1,2,3},TRUE),1,4)</f>
        <v>0</v>
      </c>
      <c r="P55" s="380"/>
      <c r="T55" s="1"/>
      <c r="U55" s="1"/>
      <c r="V55" s="1"/>
      <c r="W55" s="1"/>
      <c r="X55" s="1"/>
      <c r="Y55" s="1"/>
    </row>
    <row r="56" spans="1:25" ht="16.899999999999999" customHeight="1">
      <c r="C56" s="1"/>
      <c r="D56" s="1"/>
      <c r="T56" s="1"/>
      <c r="U56" s="1"/>
      <c r="V56" s="1"/>
      <c r="W56" s="1"/>
      <c r="X56" s="1"/>
      <c r="Y56" s="1"/>
    </row>
    <row r="57" spans="1:25" ht="16.899999999999999" customHeight="1">
      <c r="C57" s="1"/>
      <c r="D57" s="1"/>
      <c r="T57" s="1"/>
      <c r="U57" s="1"/>
      <c r="V57" s="1"/>
      <c r="W57" s="1"/>
      <c r="X57" s="1"/>
      <c r="Y57" s="1"/>
    </row>
    <row r="58" spans="1:25" ht="16.899999999999999" customHeight="1">
      <c r="C58" s="1"/>
      <c r="D58" s="1"/>
    </row>
    <row r="59" spans="1:25" ht="16.899999999999999" customHeight="1">
      <c r="C59" s="1"/>
      <c r="D59" s="1"/>
      <c r="R59" s="1"/>
    </row>
    <row r="60" spans="1:25" ht="16.899999999999999" customHeight="1">
      <c r="C60" s="1"/>
      <c r="D60" s="1"/>
      <c r="R60" s="1"/>
    </row>
    <row r="61" spans="1:25" ht="16.899999999999999" customHeight="1">
      <c r="C61" s="1"/>
      <c r="D61" s="1"/>
      <c r="Q61" s="1"/>
      <c r="R61" s="1"/>
    </row>
    <row r="62" spans="1:25" ht="16.899999999999999" customHeight="1">
      <c r="C62" s="1"/>
      <c r="D62" s="1"/>
      <c r="Q62" s="1"/>
      <c r="R62" s="1"/>
    </row>
    <row r="63" spans="1:25" ht="16.899999999999999" customHeight="1">
      <c r="C63" s="1"/>
      <c r="D63" s="1"/>
      <c r="Q63" s="1"/>
      <c r="R63" s="1"/>
      <c r="S63" s="1"/>
      <c r="T63" s="1"/>
      <c r="U63" s="1"/>
      <c r="V63" s="1"/>
      <c r="W63" s="1"/>
      <c r="X63" s="1"/>
      <c r="Y63" s="1"/>
    </row>
    <row r="64" spans="1:25" ht="16.899999999999999" customHeight="1">
      <c r="C64" s="1"/>
      <c r="D64" s="1"/>
      <c r="Q64" s="1"/>
      <c r="R64" s="1"/>
      <c r="S64" s="1"/>
      <c r="T64" s="1"/>
      <c r="U64" s="1"/>
      <c r="V64" s="1"/>
      <c r="W64" s="1"/>
      <c r="X64" s="1"/>
      <c r="Y64" s="1"/>
    </row>
    <row r="65" spans="17:17" s="1" customFormat="1" ht="16.899999999999999" customHeight="1"/>
    <row r="66" spans="17:17" s="1" customFormat="1" ht="16.899999999999999" customHeight="1"/>
    <row r="67" spans="17:17" s="1" customFormat="1" ht="16.899999999999999" customHeight="1"/>
    <row r="68" spans="17:17" s="1" customFormat="1" ht="16.899999999999999" customHeight="1"/>
    <row r="69" spans="17:17" s="1" customFormat="1" ht="16.899999999999999" customHeight="1">
      <c r="Q69" s="8"/>
    </row>
    <row r="70" spans="17:17" s="1" customFormat="1" ht="16.899999999999999" customHeight="1">
      <c r="Q70" s="8"/>
    </row>
    <row r="71" spans="17:17" s="1" customFormat="1" ht="16.899999999999999" customHeight="1">
      <c r="Q71" s="8"/>
    </row>
    <row r="72" spans="17:17" s="1" customFormat="1" ht="16.899999999999999" customHeight="1">
      <c r="Q72" s="8"/>
    </row>
    <row r="73" spans="17:17" s="1" customFormat="1" ht="16.899999999999999" customHeight="1">
      <c r="Q73" s="8"/>
    </row>
    <row r="74" spans="17:17" s="1" customFormat="1" ht="16.899999999999999" customHeight="1">
      <c r="Q74" s="8"/>
    </row>
    <row r="75" spans="17:17" s="1" customFormat="1" ht="16.899999999999999" customHeight="1">
      <c r="Q75" s="8"/>
    </row>
    <row r="76" spans="17:17" s="1" customFormat="1" ht="16.899999999999999" customHeight="1">
      <c r="Q76" s="8"/>
    </row>
    <row r="77" spans="17:17" s="1" customFormat="1" ht="16.899999999999999" customHeight="1">
      <c r="Q77" s="8"/>
    </row>
    <row r="78" spans="17:17" s="1" customFormat="1" ht="16.899999999999999" customHeight="1">
      <c r="Q78" s="8"/>
    </row>
    <row r="79" spans="17:17" s="1" customFormat="1" ht="16.899999999999999" customHeight="1">
      <c r="Q79" s="8"/>
    </row>
    <row r="80" spans="17:17" s="1" customFormat="1" ht="16.899999999999999" customHeight="1">
      <c r="Q80" s="8"/>
    </row>
    <row r="81" spans="17:19" s="1" customFormat="1" ht="16.899999999999999" customHeight="1">
      <c r="Q81" s="8"/>
    </row>
    <row r="82" spans="17:19" s="1" customFormat="1" ht="16.899999999999999" customHeight="1">
      <c r="Q82" s="8"/>
    </row>
    <row r="83" spans="17:19" s="1" customFormat="1" ht="16.899999999999999" customHeight="1">
      <c r="Q83" s="8"/>
    </row>
    <row r="84" spans="17:19" s="1" customFormat="1" ht="16.899999999999999" customHeight="1">
      <c r="Q84" s="8"/>
    </row>
    <row r="85" spans="17:19" s="1" customFormat="1" ht="16.899999999999999" customHeight="1">
      <c r="Q85" s="8"/>
      <c r="R85" s="8"/>
    </row>
    <row r="86" spans="17:19" s="1" customFormat="1" ht="16.899999999999999" customHeight="1">
      <c r="Q86" s="8"/>
      <c r="R86" s="8"/>
    </row>
    <row r="87" spans="17:19" s="1" customFormat="1" ht="16.899999999999999" customHeight="1">
      <c r="Q87" s="8"/>
      <c r="R87" s="8"/>
    </row>
    <row r="88" spans="17:19" s="1" customFormat="1" ht="16.899999999999999" customHeight="1">
      <c r="Q88" s="8"/>
      <c r="R88" s="8"/>
    </row>
    <row r="89" spans="17:19" s="1" customFormat="1" ht="16.899999999999999" customHeight="1">
      <c r="Q89" s="8"/>
      <c r="R89" s="8"/>
      <c r="S89" s="8"/>
    </row>
    <row r="90" spans="17:19" s="1" customFormat="1" ht="16.899999999999999" customHeight="1">
      <c r="Q90" s="8"/>
      <c r="R90" s="8"/>
      <c r="S90" s="8"/>
    </row>
    <row r="91" spans="17:19" s="1" customFormat="1" ht="16.899999999999999" customHeight="1">
      <c r="Q91" s="8"/>
      <c r="R91" s="8"/>
      <c r="S91" s="8"/>
    </row>
    <row r="92" spans="17:19" s="1" customFormat="1" ht="16.899999999999999" customHeight="1">
      <c r="Q92" s="8"/>
      <c r="R92" s="8"/>
      <c r="S92" s="8"/>
    </row>
    <row r="93" spans="17:19" s="1" customFormat="1" ht="16.899999999999999" customHeight="1">
      <c r="Q93" s="8"/>
      <c r="R93" s="8"/>
      <c r="S93" s="8"/>
    </row>
    <row r="94" spans="17:19" s="1" customFormat="1" ht="16.899999999999999" customHeight="1">
      <c r="Q94" s="8"/>
      <c r="R94" s="8"/>
      <c r="S94" s="8"/>
    </row>
    <row r="95" spans="17:19" s="1" customFormat="1" ht="16.899999999999999" customHeight="1">
      <c r="Q95" s="8"/>
      <c r="R95" s="8"/>
      <c r="S95" s="8"/>
    </row>
    <row r="96" spans="17:19" s="1" customFormat="1" ht="16.899999999999999" customHeight="1">
      <c r="Q96" s="8"/>
      <c r="R96" s="8"/>
      <c r="S96" s="8"/>
    </row>
    <row r="97" spans="3:28" ht="16.899999999999999" customHeight="1">
      <c r="C97" s="1"/>
      <c r="D97" s="1"/>
      <c r="T97" s="1"/>
      <c r="U97" s="1"/>
      <c r="V97" s="1"/>
      <c r="W97" s="1"/>
      <c r="X97" s="1"/>
      <c r="Y97" s="1"/>
    </row>
    <row r="98" spans="3:28" ht="16.899999999999999" customHeight="1">
      <c r="C98" s="1"/>
      <c r="D98" s="1"/>
      <c r="T98" s="1"/>
      <c r="U98" s="1"/>
      <c r="V98" s="1"/>
      <c r="W98" s="1"/>
      <c r="X98" s="1"/>
      <c r="Y98" s="1"/>
    </row>
    <row r="99" spans="3:28" ht="16.899999999999999" customHeight="1">
      <c r="C99" s="1"/>
      <c r="D99" s="1"/>
      <c r="T99" s="1"/>
      <c r="U99" s="1"/>
      <c r="V99" s="1"/>
      <c r="W99" s="1"/>
      <c r="X99" s="1"/>
      <c r="Y99" s="1"/>
    </row>
    <row r="100" spans="3:28" ht="16.899999999999999" customHeight="1">
      <c r="C100" s="1"/>
      <c r="D100" s="1"/>
      <c r="T100" s="1"/>
      <c r="U100" s="1"/>
      <c r="V100" s="1"/>
      <c r="W100" s="1"/>
      <c r="X100" s="1"/>
      <c r="Y100" s="1"/>
    </row>
    <row r="101" spans="3:28" ht="16.899999999999999" customHeight="1">
      <c r="C101" s="1"/>
      <c r="D101" s="1"/>
      <c r="Q101" s="1"/>
      <c r="R101" s="1"/>
      <c r="T101" s="1"/>
      <c r="U101" s="1"/>
      <c r="V101" s="1"/>
      <c r="W101" s="1"/>
      <c r="X101" s="1"/>
      <c r="Y101" s="1"/>
    </row>
    <row r="102" spans="3:28" ht="16.899999999999999" customHeight="1">
      <c r="C102" s="1"/>
      <c r="D102" s="1"/>
      <c r="Q102" s="1"/>
      <c r="T102" s="1"/>
      <c r="U102" s="1"/>
      <c r="V102" s="1"/>
      <c r="W102" s="1"/>
      <c r="X102" s="1"/>
      <c r="Y102" s="1"/>
    </row>
    <row r="103" spans="3:28" ht="16.899999999999999" customHeight="1">
      <c r="C103" s="1"/>
      <c r="D103" s="1"/>
      <c r="Q103" s="1"/>
      <c r="T103" s="1"/>
      <c r="U103" s="1"/>
      <c r="V103" s="1"/>
      <c r="W103" s="1"/>
      <c r="X103" s="1"/>
      <c r="Y103" s="1"/>
    </row>
    <row r="104" spans="3:28" ht="16.899999999999999" customHeight="1">
      <c r="C104" s="1"/>
      <c r="D104" s="1"/>
      <c r="Q104" s="1"/>
    </row>
    <row r="105" spans="3:28" ht="16.899999999999999" customHeight="1">
      <c r="C105" s="1"/>
      <c r="D105" s="1"/>
      <c r="Q105" s="1"/>
      <c r="S105" s="1"/>
      <c r="T105" s="1"/>
      <c r="U105" s="1"/>
      <c r="V105" s="1"/>
      <c r="W105" s="1"/>
      <c r="X105" s="1"/>
      <c r="Y105" s="1"/>
    </row>
    <row r="106" spans="3:28" ht="16.899999999999999" customHeight="1">
      <c r="C106" s="1"/>
      <c r="D106" s="1"/>
      <c r="Q106" s="1"/>
      <c r="Y106" s="1"/>
    </row>
    <row r="107" spans="3:28" ht="16.899999999999999" customHeight="1">
      <c r="C107" s="1"/>
      <c r="D107" s="1"/>
      <c r="Y107" s="1"/>
    </row>
    <row r="108" spans="3:28" ht="16.899999999999999" customHeight="1">
      <c r="C108" s="1"/>
      <c r="D108" s="1"/>
      <c r="Y108" s="1"/>
    </row>
    <row r="109" spans="3:28" ht="16.899999999999999" customHeight="1">
      <c r="C109" s="1"/>
      <c r="D109" s="1"/>
      <c r="Y109" s="1"/>
    </row>
    <row r="110" spans="3:28" ht="16.899999999999999" customHeight="1">
      <c r="C110" s="1"/>
      <c r="D110" s="1"/>
      <c r="Y110" s="1"/>
      <c r="Z110" s="370" t="s">
        <v>16</v>
      </c>
      <c r="AA110" s="371"/>
      <c r="AB110" s="372"/>
    </row>
    <row r="111" spans="3:28" ht="16.899999999999999" customHeight="1">
      <c r="C111" s="1"/>
      <c r="D111" s="1"/>
      <c r="Y111" s="1"/>
      <c r="Z111" s="4" t="s">
        <v>3</v>
      </c>
      <c r="AA111" s="369" cm="1">
        <f t="array" ref="AA111">INDEX(LINEST($R$22:$R$31,$J$22:$J$31^{1,2,3},TRUE),1,1)</f>
        <v>0</v>
      </c>
      <c r="AB111" s="369"/>
    </row>
    <row r="112" spans="3:28" ht="16.899999999999999" customHeight="1">
      <c r="C112" s="1"/>
      <c r="D112" s="1"/>
      <c r="Y112" s="1"/>
      <c r="Z112" s="4" t="s">
        <v>6</v>
      </c>
      <c r="AA112" s="369" cm="1">
        <f t="array" ref="AA112">INDEX(LINEST($R$22:$R$31,$J$22:$J$31^{1,2,3},TRUE),1,2)</f>
        <v>0</v>
      </c>
      <c r="AB112" s="369"/>
    </row>
    <row r="113" spans="3:28" ht="16.899999999999999" customHeight="1">
      <c r="C113" s="1"/>
      <c r="D113" s="1"/>
      <c r="Y113" s="1"/>
      <c r="Z113" s="4" t="s">
        <v>7</v>
      </c>
      <c r="AA113" s="369" cm="1">
        <f t="array" ref="AA113">INDEX(LINEST($R$22:$R$31,$J$22:$J$31^{1,2,3},TRUE),1,3)</f>
        <v>0</v>
      </c>
      <c r="AB113" s="369"/>
    </row>
    <row r="114" spans="3:28" ht="16.899999999999999" customHeight="1">
      <c r="C114" s="1"/>
      <c r="D114" s="1"/>
      <c r="Y114" s="1"/>
      <c r="Z114" s="4" t="s">
        <v>8</v>
      </c>
      <c r="AA114" s="369" cm="1">
        <f t="array" ref="AA114">INDEX(LINEST($R$22:$R$31,$J$22:$J$31^{1,2,3},TRUE),1,4)</f>
        <v>0</v>
      </c>
      <c r="AB114" s="369"/>
    </row>
    <row r="115" spans="3:28" ht="16.899999999999999" customHeight="1">
      <c r="C115" s="1"/>
      <c r="D115" s="1"/>
      <c r="Y115" s="1"/>
    </row>
    <row r="116" spans="3:28" ht="16.899999999999999" customHeight="1">
      <c r="C116" s="1"/>
      <c r="D116" s="1"/>
      <c r="Y116" s="1"/>
      <c r="Z116" s="373" t="s">
        <v>17</v>
      </c>
      <c r="AA116" s="374"/>
      <c r="AB116" s="375"/>
    </row>
    <row r="117" spans="3:28" ht="16.899999999999999" customHeight="1">
      <c r="C117" s="1"/>
      <c r="D117" s="1"/>
      <c r="Y117" s="1"/>
      <c r="Z117" s="4" t="s">
        <v>3</v>
      </c>
      <c r="AA117" s="369" t="e" cm="1">
        <f t="array" ref="AA117">INDEX(LINEST($AC$146:$AC$156,$J$22:$J$31^{1,2,3},TRUE),1,1)</f>
        <v>#REF!</v>
      </c>
      <c r="AB117" s="369"/>
    </row>
    <row r="118" spans="3:28" ht="16.899999999999999" customHeight="1">
      <c r="C118" s="1"/>
      <c r="D118" s="1"/>
      <c r="R118" s="1" t="s">
        <v>18</v>
      </c>
      <c r="Y118" s="1"/>
      <c r="Z118" s="4" t="s">
        <v>6</v>
      </c>
      <c r="AA118" s="369" t="e" cm="1">
        <f t="array" ref="AA118">INDEX(LINEST($AC$146:$AC$156,$J$22:$J$31^{1,2,3},TRUE),1,2)</f>
        <v>#REF!</v>
      </c>
      <c r="AB118" s="369"/>
    </row>
    <row r="119" spans="3:28" ht="16.899999999999999" customHeight="1">
      <c r="C119" s="1"/>
      <c r="D119" s="1"/>
      <c r="R119" s="1" t="s">
        <v>15</v>
      </c>
      <c r="Y119" s="1"/>
      <c r="Z119" s="4" t="s">
        <v>7</v>
      </c>
      <c r="AA119" s="369" t="e" cm="1">
        <f t="array" ref="AA119">INDEX(LINEST($AC$146:$AC$156,$J$22:$J$31^{1,2,3},TRUE),1,3)</f>
        <v>#REF!</v>
      </c>
      <c r="AB119" s="369"/>
    </row>
    <row r="120" spans="3:28" ht="16.899999999999999" customHeight="1">
      <c r="C120" s="1"/>
      <c r="D120" s="1"/>
      <c r="R120" s="1"/>
      <c r="Y120" s="1"/>
      <c r="Z120" s="4" t="s">
        <v>8</v>
      </c>
      <c r="AA120" s="369" t="e" cm="1">
        <f t="array" ref="AA120">INDEX(LINEST($AC$146:$AC$156,$J$22:$J$31^{1,2,3},TRUE),1,4)</f>
        <v>#REF!</v>
      </c>
      <c r="AB120" s="369"/>
    </row>
    <row r="121" spans="3:28" ht="16.899999999999999" customHeight="1">
      <c r="C121" s="1"/>
      <c r="D121" s="1"/>
      <c r="R121" s="1"/>
      <c r="Y121" s="1"/>
    </row>
    <row r="122" spans="3:28" ht="16.899999999999999" customHeight="1">
      <c r="C122" s="1"/>
      <c r="D122" s="1"/>
      <c r="R122" s="1"/>
      <c r="S122" s="1"/>
      <c r="T122" s="1"/>
      <c r="U122" s="1"/>
      <c r="V122" s="1"/>
      <c r="W122" s="1"/>
      <c r="X122" s="1"/>
      <c r="Y122" s="1"/>
    </row>
    <row r="123" spans="3:28" ht="16.899999999999999" customHeight="1">
      <c r="C123" s="1"/>
      <c r="D123" s="1"/>
      <c r="R123" s="1"/>
      <c r="S123" s="1"/>
      <c r="T123" s="1"/>
      <c r="U123" s="1"/>
      <c r="V123" s="1"/>
      <c r="W123" s="1"/>
      <c r="X123" s="1"/>
      <c r="Y123" s="1"/>
    </row>
    <row r="124" spans="3:28" ht="16.899999999999999" customHeight="1">
      <c r="C124" s="1"/>
      <c r="D124" s="1"/>
      <c r="R124" s="1"/>
      <c r="S124" s="1"/>
      <c r="T124" s="1"/>
      <c r="U124" s="1"/>
      <c r="V124" s="1"/>
      <c r="W124" s="1"/>
      <c r="X124" s="1"/>
      <c r="Y124" s="1"/>
    </row>
    <row r="125" spans="3:28" ht="16.899999999999999" customHeight="1">
      <c r="C125" s="1"/>
      <c r="D125" s="1"/>
      <c r="R125" s="1"/>
      <c r="S125" s="1"/>
      <c r="T125" s="1"/>
      <c r="U125" s="1"/>
      <c r="V125" s="1"/>
      <c r="W125" s="1"/>
      <c r="X125" s="1"/>
      <c r="Y125" s="1"/>
    </row>
    <row r="126" spans="3:28" ht="16.899999999999999" customHeight="1">
      <c r="C126" s="1"/>
      <c r="D126" s="1"/>
      <c r="R126" s="1"/>
      <c r="S126" s="1"/>
      <c r="T126" s="1"/>
      <c r="U126" s="2"/>
      <c r="V126" s="2"/>
      <c r="W126" s="1"/>
      <c r="X126" s="1"/>
      <c r="Y126" s="1"/>
      <c r="Z126" s="370" t="s">
        <v>16</v>
      </c>
      <c r="AA126" s="371"/>
      <c r="AB126" s="372"/>
    </row>
    <row r="127" spans="3:28" ht="16.899999999999999" customHeight="1">
      <c r="C127" s="1"/>
      <c r="D127" s="1"/>
      <c r="R127" s="1"/>
      <c r="S127" s="1"/>
      <c r="T127" s="1"/>
      <c r="U127" s="2"/>
      <c r="V127" s="2"/>
      <c r="W127" s="1"/>
      <c r="X127" s="1"/>
      <c r="Y127" s="1"/>
      <c r="Z127" s="4" t="s">
        <v>3</v>
      </c>
      <c r="AA127" s="369" cm="1">
        <f t="array" ref="AA127">INDEX(LINEST($R$22:$R$31,$I$22:$I$31^{1,2,3},TRUE),1,1)</f>
        <v>0</v>
      </c>
      <c r="AB127" s="369"/>
    </row>
    <row r="128" spans="3:28" ht="16.899999999999999" customHeight="1">
      <c r="C128" s="1"/>
      <c r="D128" s="1"/>
      <c r="R128" s="1"/>
      <c r="S128" s="1"/>
      <c r="T128" s="1"/>
      <c r="U128" s="2"/>
      <c r="V128" s="2"/>
      <c r="W128" s="1"/>
      <c r="X128" s="1"/>
      <c r="Y128" s="1"/>
      <c r="Z128" s="4" t="s">
        <v>6</v>
      </c>
      <c r="AA128" s="369" cm="1">
        <f t="array" ref="AA128">INDEX(LINEST($R$22:$R$31,$I$22:$I$31^{1,2,3},TRUE),1,2)</f>
        <v>0</v>
      </c>
      <c r="AB128" s="369"/>
    </row>
    <row r="129" spans="3:28" ht="16.899999999999999" customHeight="1">
      <c r="C129" s="1"/>
      <c r="D129" s="1"/>
      <c r="R129" s="1"/>
      <c r="S129" s="1"/>
      <c r="T129" s="1"/>
      <c r="U129" s="2"/>
      <c r="V129" s="2"/>
      <c r="W129" s="1"/>
      <c r="X129" s="1"/>
      <c r="Y129" s="1"/>
      <c r="Z129" s="4" t="s">
        <v>7</v>
      </c>
      <c r="AA129" s="369" cm="1">
        <f t="array" ref="AA129">INDEX(LINEST($R$22:$R$31,$I$22:$I$31^{1,2,3},TRUE),1,3)</f>
        <v>0</v>
      </c>
      <c r="AB129" s="369"/>
    </row>
    <row r="130" spans="3:28" ht="16.899999999999999" customHeight="1">
      <c r="C130" s="1"/>
      <c r="D130" s="1"/>
      <c r="R130" s="1"/>
      <c r="S130" s="1"/>
      <c r="T130" s="1"/>
      <c r="U130" s="2"/>
      <c r="V130" s="2"/>
      <c r="W130" s="1"/>
      <c r="X130" s="1"/>
      <c r="Y130" s="1"/>
      <c r="Z130" s="4" t="s">
        <v>8</v>
      </c>
      <c r="AA130" s="369" cm="1">
        <f t="array" ref="AA130">INDEX(LINEST($R$22:$R$31,$I$22:$I$31^{1,2,3},TRUE),1,4)</f>
        <v>0</v>
      </c>
      <c r="AB130" s="369"/>
    </row>
    <row r="131" spans="3:28" ht="16.899999999999999" customHeight="1">
      <c r="C131" s="1"/>
      <c r="D131" s="1"/>
      <c r="R131" s="1"/>
      <c r="S131" s="1"/>
      <c r="T131" s="1"/>
      <c r="U131" s="2"/>
      <c r="V131" s="2"/>
      <c r="W131" s="1"/>
      <c r="X131" s="1"/>
      <c r="Y131" s="1"/>
    </row>
    <row r="132" spans="3:28" ht="16.899999999999999" customHeight="1">
      <c r="C132" s="1"/>
      <c r="D132" s="1"/>
      <c r="R132" s="1"/>
      <c r="S132" s="1"/>
      <c r="T132" s="1"/>
      <c r="U132" s="2"/>
      <c r="V132" s="2"/>
      <c r="W132" s="1"/>
      <c r="X132" s="1"/>
      <c r="Y132" s="1"/>
      <c r="Z132" s="373" t="s">
        <v>17</v>
      </c>
      <c r="AA132" s="374"/>
      <c r="AB132" s="375"/>
    </row>
    <row r="133" spans="3:28" ht="16.899999999999999" customHeight="1">
      <c r="C133" s="1"/>
      <c r="D133" s="1"/>
      <c r="R133" s="1"/>
      <c r="S133" s="1"/>
      <c r="T133" s="1"/>
      <c r="U133" s="2"/>
      <c r="V133" s="2"/>
      <c r="W133" s="1"/>
      <c r="X133" s="1"/>
      <c r="Y133" s="1"/>
      <c r="Z133" s="4" t="s">
        <v>3</v>
      </c>
      <c r="AA133" s="369" t="e" cm="1">
        <f t="array" ref="AA133">INDEX(LINEST($AC$146:$AC$156,$I$22:$I$31^{1,2,3},TRUE),1,1)</f>
        <v>#REF!</v>
      </c>
      <c r="AB133" s="369"/>
    </row>
    <row r="134" spans="3:28" ht="16.899999999999999" customHeight="1">
      <c r="C134" s="1"/>
      <c r="D134" s="1"/>
      <c r="R134" s="1"/>
      <c r="S134" s="1"/>
      <c r="T134" s="1"/>
      <c r="U134" s="2"/>
      <c r="V134" s="2"/>
      <c r="W134" s="1"/>
      <c r="X134" s="1"/>
      <c r="Y134" s="1"/>
      <c r="Z134" s="4" t="s">
        <v>6</v>
      </c>
      <c r="AA134" s="369" t="e" cm="1">
        <f t="array" ref="AA134">INDEX(LINEST($AC$146:$AC$156,$I$22:$I$31^{1,2,3},TRUE),1,2)</f>
        <v>#REF!</v>
      </c>
      <c r="AB134" s="369"/>
    </row>
    <row r="135" spans="3:28" ht="16.899999999999999" customHeight="1">
      <c r="C135" s="1"/>
      <c r="D135" s="1"/>
      <c r="R135" s="1"/>
      <c r="S135" s="1"/>
      <c r="T135" s="1"/>
      <c r="U135" s="2"/>
      <c r="V135" s="2"/>
      <c r="W135" s="1"/>
      <c r="X135" s="1"/>
      <c r="Y135" s="1"/>
      <c r="Z135" s="4" t="s">
        <v>7</v>
      </c>
      <c r="AA135" s="369" t="e" cm="1">
        <f t="array" ref="AA135">INDEX(LINEST($AC$146:$AC$156,$I$22:$I$31^{1,2,3},TRUE),1,3)</f>
        <v>#REF!</v>
      </c>
      <c r="AB135" s="369"/>
    </row>
    <row r="136" spans="3:28" ht="16.899999999999999" customHeight="1">
      <c r="C136" s="1"/>
      <c r="D136" s="1"/>
      <c r="R136" s="1"/>
      <c r="S136" s="1"/>
      <c r="T136" s="1"/>
      <c r="U136" s="2"/>
      <c r="V136" s="2"/>
      <c r="W136" s="1"/>
      <c r="X136" s="1"/>
      <c r="Y136" s="1"/>
      <c r="Z136" s="4" t="s">
        <v>8</v>
      </c>
      <c r="AA136" s="369" t="e" cm="1">
        <f t="array" ref="AA136">INDEX(LINEST($AC$146:$AC$156,$I$22:$I$31^{1,2,3},TRUE),1,4)</f>
        <v>#REF!</v>
      </c>
      <c r="AB136" s="369"/>
    </row>
    <row r="137" spans="3:28" ht="16.899999999999999" customHeight="1">
      <c r="C137" s="1"/>
      <c r="D137" s="1"/>
      <c r="R137" s="1"/>
      <c r="S137" s="1"/>
      <c r="T137" s="1"/>
      <c r="U137" s="2"/>
      <c r="V137" s="2"/>
      <c r="W137" s="1"/>
      <c r="X137" s="1"/>
      <c r="Y137" s="1"/>
    </row>
    <row r="138" spans="3:28" ht="16.899999999999999" customHeight="1">
      <c r="C138" s="1"/>
      <c r="D138" s="1"/>
      <c r="R138" s="1"/>
      <c r="S138" s="1"/>
      <c r="T138" s="1"/>
      <c r="U138" s="2"/>
      <c r="V138" s="2"/>
      <c r="W138" s="1"/>
      <c r="X138" s="1"/>
      <c r="Y138" s="1"/>
    </row>
    <row r="139" spans="3:28" ht="16.899999999999999" customHeight="1">
      <c r="C139" s="1"/>
      <c r="D139" s="1"/>
      <c r="R139" s="1"/>
      <c r="S139" s="1"/>
      <c r="T139" s="1"/>
      <c r="U139" s="2"/>
      <c r="V139" s="2"/>
      <c r="W139" s="1"/>
      <c r="X139" s="1"/>
      <c r="Y139" s="1"/>
    </row>
    <row r="140" spans="3:28" ht="16.899999999999999" customHeight="1">
      <c r="C140" s="1"/>
      <c r="D140" s="1"/>
      <c r="R140" s="1"/>
      <c r="S140" s="1"/>
      <c r="T140" s="1"/>
      <c r="U140" s="2"/>
      <c r="V140" s="2"/>
      <c r="W140" s="1"/>
      <c r="X140" s="1"/>
      <c r="Y140" s="1"/>
      <c r="Z140" s="370" t="s">
        <v>16</v>
      </c>
      <c r="AA140" s="371"/>
      <c r="AB140" s="372"/>
    </row>
    <row r="141" spans="3:28" ht="16.899999999999999" customHeight="1">
      <c r="C141" s="1"/>
      <c r="D141" s="1"/>
      <c r="R141" s="1"/>
      <c r="S141" s="1"/>
      <c r="T141" s="1"/>
      <c r="U141" s="2"/>
      <c r="V141" s="2"/>
      <c r="W141" s="1"/>
      <c r="X141" s="1"/>
      <c r="Y141" s="1"/>
      <c r="Z141" s="4" t="s">
        <v>3</v>
      </c>
      <c r="AA141" s="369" t="e" cm="1">
        <f t="array" ref="AA141">INDEX(LINEST(#REF!,$J$22:$J$31^{1,2,3},TRUE),1,1)</f>
        <v>#REF!</v>
      </c>
      <c r="AB141" s="369"/>
    </row>
    <row r="142" spans="3:28" ht="16.899999999999999" customHeight="1">
      <c r="C142" s="1"/>
      <c r="D142" s="1"/>
      <c r="R142" s="1"/>
      <c r="S142" s="1"/>
      <c r="T142" s="1"/>
      <c r="U142" s="2"/>
      <c r="V142" s="2"/>
      <c r="W142" s="1"/>
      <c r="X142" s="1"/>
      <c r="Y142" s="1"/>
      <c r="Z142" s="4" t="s">
        <v>6</v>
      </c>
      <c r="AA142" s="369" t="e" cm="1">
        <f t="array" ref="AA142">INDEX(LINEST(#REF!,$J$22:$J$31^{1,2,3},TRUE),1,2)</f>
        <v>#REF!</v>
      </c>
      <c r="AB142" s="369"/>
    </row>
    <row r="143" spans="3:28" ht="16.899999999999999" customHeight="1">
      <c r="C143" s="1"/>
      <c r="D143" s="1"/>
      <c r="R143" s="1"/>
      <c r="S143" s="1"/>
      <c r="T143" s="1"/>
      <c r="U143" s="2"/>
      <c r="V143" s="2"/>
      <c r="W143" s="1"/>
      <c r="X143" s="1"/>
      <c r="Y143" s="1"/>
      <c r="Z143" s="4" t="s">
        <v>7</v>
      </c>
      <c r="AA143" s="369" t="e" cm="1">
        <f t="array" ref="AA143">INDEX(LINEST(#REF!,$J$22:$J$31^{1,2,3},TRUE),1,3)</f>
        <v>#REF!</v>
      </c>
      <c r="AB143" s="369"/>
    </row>
    <row r="144" spans="3:28" ht="16.899999999999999" customHeight="1">
      <c r="C144" s="1"/>
      <c r="D144" s="1"/>
      <c r="R144" s="1"/>
      <c r="S144" s="1"/>
      <c r="T144" s="1"/>
      <c r="U144" s="2"/>
      <c r="V144" s="2"/>
      <c r="W144" s="1"/>
      <c r="X144" s="1"/>
      <c r="Y144" s="1"/>
      <c r="Z144" s="4" t="s">
        <v>8</v>
      </c>
      <c r="AA144" s="369" t="e" cm="1">
        <f t="array" ref="AA144">INDEX(LINEST(#REF!,$J$22:$J$31^{1,2,3},TRUE),1,4)</f>
        <v>#REF!</v>
      </c>
      <c r="AB144" s="369"/>
    </row>
    <row r="145" spans="3:28" ht="16.899999999999999" customHeight="1">
      <c r="C145" s="1"/>
      <c r="D145" s="1"/>
      <c r="R145" s="1"/>
      <c r="S145" s="1"/>
      <c r="T145" s="1"/>
      <c r="U145" s="2"/>
      <c r="V145" s="2"/>
      <c r="W145" s="1"/>
      <c r="X145" s="1"/>
      <c r="Y145" s="1"/>
    </row>
    <row r="146" spans="3:28" ht="16.899999999999999" customHeight="1">
      <c r="C146" s="1"/>
      <c r="D146" s="1"/>
      <c r="R146" s="1"/>
      <c r="S146" s="1"/>
      <c r="T146" s="1"/>
      <c r="U146" s="2"/>
      <c r="V146" s="2"/>
      <c r="W146" s="1"/>
      <c r="X146" s="1"/>
      <c r="Y146" s="1"/>
      <c r="Z146" s="373" t="s">
        <v>17</v>
      </c>
      <c r="AA146" s="374"/>
      <c r="AB146" s="375"/>
    </row>
    <row r="147" spans="3:28" ht="16.899999999999999" customHeight="1">
      <c r="C147" s="1"/>
      <c r="D147" s="1"/>
      <c r="R147" s="1"/>
      <c r="S147" s="1"/>
      <c r="T147" s="1"/>
      <c r="U147" s="1"/>
      <c r="V147" s="1"/>
      <c r="W147" s="1"/>
      <c r="X147" s="1"/>
      <c r="Y147" s="2"/>
      <c r="Z147" s="4" t="s">
        <v>3</v>
      </c>
      <c r="AA147" s="369" t="e" cm="1">
        <f t="array" ref="AA147">INDEX(LINEST(#REF!,$J$22:$J$31^{1,2,3},TRUE),1,1)</f>
        <v>#REF!</v>
      </c>
      <c r="AB147" s="369"/>
    </row>
    <row r="148" spans="3:28" ht="16.899999999999999" customHeight="1">
      <c r="R148" s="1"/>
      <c r="S148" s="1"/>
      <c r="T148" s="1"/>
      <c r="U148" s="1"/>
      <c r="V148" s="1"/>
      <c r="W148" s="1"/>
      <c r="X148" s="1"/>
      <c r="Y148" s="2"/>
      <c r="Z148" s="4" t="s">
        <v>6</v>
      </c>
      <c r="AA148" s="369" t="e" cm="1">
        <f t="array" ref="AA148">INDEX(LINEST(#REF!,$J$22:$J$31^{1,2,3},TRUE),1,2)</f>
        <v>#REF!</v>
      </c>
      <c r="AB148" s="369"/>
    </row>
    <row r="149" spans="3:28" ht="16.899999999999999" customHeight="1">
      <c r="R149" s="1"/>
      <c r="S149" s="1"/>
      <c r="T149" s="1"/>
      <c r="U149" s="1"/>
      <c r="V149" s="1"/>
      <c r="W149" s="1"/>
      <c r="X149" s="1"/>
      <c r="Y149" s="2"/>
      <c r="Z149" s="4" t="s">
        <v>7</v>
      </c>
      <c r="AA149" s="369" t="e" cm="1">
        <f t="array" ref="AA149">INDEX(LINEST(#REF!,$J$22:$J$31^{1,2,3},TRUE),1,3)</f>
        <v>#REF!</v>
      </c>
      <c r="AB149" s="369"/>
    </row>
    <row r="150" spans="3:28" ht="16.899999999999999" customHeight="1">
      <c r="S150" s="1"/>
      <c r="T150" s="1"/>
      <c r="U150" s="1"/>
      <c r="V150" s="1"/>
      <c r="W150" s="1"/>
      <c r="X150" s="1"/>
      <c r="Y150" s="2"/>
      <c r="Z150" s="4" t="s">
        <v>8</v>
      </c>
      <c r="AA150" s="369" t="e" cm="1">
        <f t="array" ref="AA150">INDEX(LINEST(#REF!,$J$22:$J$31^{1,2,3},TRUE),1,4)</f>
        <v>#REF!</v>
      </c>
      <c r="AB150" s="369"/>
    </row>
    <row r="151" spans="3:28" ht="16.899999999999999" customHeight="1">
      <c r="S151" s="1"/>
      <c r="T151" s="1"/>
      <c r="U151" s="1"/>
      <c r="V151" s="1"/>
      <c r="W151" s="1"/>
      <c r="X151" s="1"/>
      <c r="Y151" s="2"/>
      <c r="AB151" s="3"/>
    </row>
    <row r="152" spans="3:28" ht="16.899999999999999" customHeight="1">
      <c r="S152" s="1"/>
      <c r="T152" s="1"/>
      <c r="U152" s="1"/>
      <c r="V152" s="1"/>
      <c r="W152" s="1"/>
      <c r="X152" s="1"/>
      <c r="Y152" s="2"/>
      <c r="AB152" s="3"/>
    </row>
    <row r="153" spans="3:28" ht="16.899999999999999" customHeight="1">
      <c r="S153" s="1"/>
      <c r="T153" s="1"/>
      <c r="U153" s="1"/>
      <c r="V153" s="1"/>
      <c r="W153" s="1"/>
      <c r="X153" s="1"/>
      <c r="Y153" s="2"/>
      <c r="AB153" s="3"/>
    </row>
    <row r="154" spans="3:28" ht="16.899999999999999" customHeight="1">
      <c r="S154" s="2"/>
      <c r="T154" s="2"/>
      <c r="U154" s="2"/>
      <c r="V154" s="1"/>
      <c r="W154" s="1"/>
      <c r="X154" s="1"/>
      <c r="Y154" s="2"/>
      <c r="Z154" s="2"/>
      <c r="AA154" s="2"/>
    </row>
    <row r="155" spans="3:28" ht="16.899999999999999" customHeight="1">
      <c r="S155" s="2"/>
      <c r="T155" s="2"/>
      <c r="U155" s="2"/>
      <c r="V155" s="1"/>
      <c r="W155" s="1"/>
      <c r="X155" s="1"/>
      <c r="Y155" s="2"/>
      <c r="Z155" s="2"/>
      <c r="AA155" s="2"/>
    </row>
    <row r="156" spans="3:28" ht="16.899999999999999" customHeight="1">
      <c r="S156" s="2"/>
      <c r="T156" s="2"/>
      <c r="U156" s="2"/>
      <c r="V156" s="1"/>
      <c r="W156" s="1"/>
      <c r="X156" s="1"/>
      <c r="Y156" s="2"/>
      <c r="Z156" s="2"/>
      <c r="AA156" s="2"/>
    </row>
    <row r="157" spans="3:28" ht="16.899999999999999" customHeight="1">
      <c r="S157" s="2"/>
      <c r="T157" s="2"/>
      <c r="U157" s="2"/>
      <c r="V157" s="1"/>
      <c r="W157" s="1"/>
      <c r="X157" s="1"/>
      <c r="Y157" s="2"/>
      <c r="Z157" s="2"/>
      <c r="AA157" s="2"/>
    </row>
    <row r="158" spans="3:28" ht="16.899999999999999" customHeight="1">
      <c r="S158" s="1"/>
      <c r="T158" s="1"/>
      <c r="U158" s="1"/>
      <c r="V158" s="2"/>
      <c r="W158" s="2"/>
      <c r="X158" s="1"/>
      <c r="Y158" s="1"/>
    </row>
    <row r="159" spans="3:28" ht="16.899999999999999" customHeight="1">
      <c r="S159" s="1"/>
      <c r="T159" s="1"/>
      <c r="U159" s="1"/>
      <c r="V159" s="1"/>
      <c r="W159" s="1"/>
      <c r="X159" s="1"/>
      <c r="Y159" s="1"/>
    </row>
    <row r="160" spans="3:28" ht="16.899999999999999" customHeight="1">
      <c r="S160" s="1"/>
      <c r="T160" s="1"/>
      <c r="U160" s="1"/>
      <c r="V160" s="1"/>
      <c r="W160" s="1"/>
      <c r="X160" s="1"/>
      <c r="Y160" s="1"/>
    </row>
    <row r="161" spans="19:25" ht="16.899999999999999" customHeight="1">
      <c r="S161" s="1"/>
      <c r="T161" s="1"/>
      <c r="U161" s="1"/>
      <c r="V161" s="1"/>
      <c r="W161" s="1"/>
      <c r="X161" s="1"/>
      <c r="Y161" s="1"/>
    </row>
    <row r="162" spans="19:25" ht="16.899999999999999" customHeight="1">
      <c r="S162" s="1"/>
      <c r="T162" s="1"/>
      <c r="U162" s="1"/>
      <c r="V162" s="1"/>
      <c r="W162" s="1"/>
      <c r="X162" s="1"/>
      <c r="Y162" s="1"/>
    </row>
    <row r="163" spans="19:25" ht="16.899999999999999" customHeight="1">
      <c r="S163" s="1"/>
      <c r="T163" s="1"/>
      <c r="U163" s="1"/>
      <c r="V163" s="1"/>
      <c r="W163" s="1"/>
      <c r="X163" s="1"/>
      <c r="Y163" s="1"/>
    </row>
    <row r="164" spans="19:25" ht="16.899999999999999" customHeight="1">
      <c r="S164" s="1"/>
      <c r="T164" s="1"/>
      <c r="U164" s="1"/>
      <c r="V164" s="1"/>
      <c r="W164" s="1"/>
      <c r="X164" s="1"/>
      <c r="Y164" s="1"/>
    </row>
    <row r="165" spans="19:25" ht="16.899999999999999" customHeight="1">
      <c r="S165" s="1"/>
      <c r="T165" s="1"/>
      <c r="U165" s="1"/>
      <c r="V165" s="1"/>
      <c r="W165" s="1"/>
      <c r="X165" s="1"/>
      <c r="Y165" s="1"/>
    </row>
    <row r="166" spans="19:25" ht="16.899999999999999" customHeight="1">
      <c r="S166" s="1"/>
      <c r="T166" s="1"/>
      <c r="U166" s="1"/>
      <c r="V166" s="1"/>
      <c r="W166" s="1"/>
      <c r="X166" s="1"/>
      <c r="Y166" s="1"/>
    </row>
    <row r="167" spans="19:25" ht="16.899999999999999" customHeight="1">
      <c r="S167" s="1"/>
      <c r="T167" s="1"/>
      <c r="U167" s="1"/>
      <c r="V167" s="1"/>
      <c r="W167" s="1"/>
      <c r="X167" s="1"/>
      <c r="Y167" s="1"/>
    </row>
    <row r="168" spans="19:25" ht="16.899999999999999" customHeight="1">
      <c r="S168" s="1"/>
      <c r="T168" s="1"/>
      <c r="U168" s="1"/>
      <c r="V168" s="1"/>
      <c r="W168" s="1"/>
      <c r="X168" s="1"/>
      <c r="Y168" s="1"/>
    </row>
    <row r="169" spans="19:25" ht="16.899999999999999" customHeight="1">
      <c r="S169" s="1"/>
      <c r="T169" s="1"/>
      <c r="U169" s="1"/>
      <c r="V169" s="1"/>
      <c r="W169" s="1"/>
      <c r="X169" s="1"/>
      <c r="Y169" s="1"/>
    </row>
    <row r="170" spans="19:25" ht="16.899999999999999" customHeight="1">
      <c r="S170" s="1"/>
      <c r="T170" s="1"/>
      <c r="U170" s="1"/>
      <c r="V170" s="1"/>
      <c r="W170" s="1"/>
      <c r="X170" s="1"/>
      <c r="Y170" s="1"/>
    </row>
    <row r="171" spans="19:25" ht="16.899999999999999" customHeight="1">
      <c r="S171" s="1"/>
      <c r="T171" s="1"/>
      <c r="U171" s="1"/>
      <c r="V171" s="1"/>
      <c r="W171" s="1"/>
      <c r="X171" s="1"/>
      <c r="Y171" s="1"/>
    </row>
    <row r="172" spans="19:25" ht="16.899999999999999" customHeight="1">
      <c r="S172" s="1"/>
      <c r="T172" s="1"/>
      <c r="U172" s="1"/>
      <c r="V172" s="1"/>
      <c r="W172" s="1"/>
      <c r="X172" s="1"/>
      <c r="Y172" s="1"/>
    </row>
    <row r="173" spans="19:25" ht="16.899999999999999" customHeight="1">
      <c r="S173" s="1"/>
      <c r="T173" s="1"/>
      <c r="U173" s="1"/>
      <c r="V173" s="1"/>
      <c r="W173" s="1"/>
      <c r="X173" s="1"/>
      <c r="Y173" s="1"/>
    </row>
    <row r="174" spans="19:25" ht="16.899999999999999" customHeight="1">
      <c r="S174" s="1"/>
      <c r="T174" s="1"/>
      <c r="U174" s="1"/>
      <c r="V174" s="1"/>
      <c r="W174" s="1"/>
      <c r="X174" s="1"/>
      <c r="Y174" s="1"/>
    </row>
    <row r="175" spans="19:25" ht="16.899999999999999" customHeight="1">
      <c r="S175" s="1"/>
      <c r="T175" s="1"/>
      <c r="U175" s="1"/>
      <c r="V175" s="1"/>
      <c r="W175" s="1"/>
      <c r="X175" s="1"/>
      <c r="Y175" s="1"/>
    </row>
    <row r="176" spans="19:25" ht="16.899999999999999" customHeight="1">
      <c r="S176" s="1"/>
      <c r="T176" s="1"/>
      <c r="U176" s="1"/>
      <c r="V176" s="1"/>
      <c r="W176" s="1"/>
      <c r="X176" s="1"/>
      <c r="Y176" s="1"/>
    </row>
    <row r="177" spans="18:25" ht="16.899999999999999" customHeight="1">
      <c r="S177" s="1"/>
      <c r="T177" s="1"/>
      <c r="U177" s="1"/>
      <c r="V177" s="1"/>
      <c r="W177" s="1"/>
      <c r="X177" s="1"/>
      <c r="Y177" s="1"/>
    </row>
    <row r="178" spans="18:25" ht="16.899999999999999" customHeight="1">
      <c r="S178" s="1"/>
      <c r="T178" s="1"/>
      <c r="U178" s="1"/>
      <c r="V178" s="1"/>
      <c r="W178" s="1"/>
      <c r="X178" s="1"/>
      <c r="Y178" s="1"/>
    </row>
    <row r="179" spans="18:25" ht="16.899999999999999" customHeight="1">
      <c r="S179" s="1"/>
      <c r="T179" s="1"/>
      <c r="U179" s="1"/>
      <c r="V179" s="1"/>
      <c r="W179" s="1"/>
      <c r="X179" s="1"/>
      <c r="Y179" s="1"/>
    </row>
    <row r="180" spans="18:25" ht="16.899999999999999" customHeight="1">
      <c r="R180" s="1"/>
      <c r="S180" s="1"/>
      <c r="T180" s="1"/>
      <c r="U180" s="1"/>
      <c r="V180" s="1"/>
      <c r="W180" s="1"/>
      <c r="X180" s="1"/>
      <c r="Y180" s="1"/>
    </row>
    <row r="181" spans="18:25" ht="16.899999999999999" customHeight="1">
      <c r="R181" s="1"/>
      <c r="S181" s="1"/>
      <c r="T181" s="1"/>
      <c r="U181" s="1"/>
      <c r="V181" s="1"/>
      <c r="W181" s="1"/>
      <c r="X181" s="1"/>
      <c r="Y181" s="1"/>
    </row>
    <row r="182" spans="18:25" ht="16.899999999999999" customHeight="1">
      <c r="R182" s="1"/>
      <c r="S182" s="1"/>
      <c r="T182" s="1"/>
      <c r="U182" s="1"/>
      <c r="V182" s="1"/>
      <c r="W182" s="1"/>
      <c r="X182" s="1"/>
      <c r="Y182" s="1"/>
    </row>
    <row r="183" spans="18:25" ht="16.899999999999999" customHeight="1">
      <c r="R183" s="1"/>
      <c r="S183" s="1"/>
      <c r="T183" s="1"/>
      <c r="U183" s="1"/>
      <c r="V183" s="1"/>
      <c r="W183" s="1"/>
      <c r="X183" s="1"/>
      <c r="Y183" s="1"/>
    </row>
    <row r="184" spans="18:25" ht="16.899999999999999" customHeight="1">
      <c r="R184" s="1"/>
      <c r="S184" s="1"/>
      <c r="T184" s="1"/>
      <c r="U184" s="1"/>
      <c r="V184" s="1"/>
      <c r="W184" s="1"/>
      <c r="X184" s="1"/>
      <c r="Y184" s="1"/>
    </row>
    <row r="185" spans="18:25" ht="16.899999999999999" customHeight="1">
      <c r="R185" s="1"/>
      <c r="S185" s="1"/>
      <c r="T185" s="1"/>
      <c r="U185" s="1"/>
      <c r="V185" s="1"/>
      <c r="W185" s="1"/>
      <c r="X185" s="1"/>
      <c r="Y185" s="1"/>
    </row>
    <row r="186" spans="18:25" ht="16.899999999999999" customHeight="1">
      <c r="R186" s="1"/>
      <c r="S186" s="1"/>
      <c r="T186" s="1"/>
      <c r="U186" s="1"/>
      <c r="V186" s="1"/>
      <c r="W186" s="1"/>
      <c r="X186" s="1"/>
      <c r="Y186" s="1"/>
    </row>
    <row r="187" spans="18:25" ht="16.899999999999999" customHeight="1">
      <c r="R187" s="1"/>
      <c r="S187" s="1"/>
      <c r="T187" s="1"/>
      <c r="U187" s="1"/>
      <c r="V187" s="1"/>
      <c r="W187" s="1"/>
      <c r="X187" s="1"/>
      <c r="Y187" s="1"/>
    </row>
    <row r="188" spans="18:25" ht="16.899999999999999" customHeight="1">
      <c r="R188" s="1"/>
      <c r="S188" s="1"/>
      <c r="T188" s="1"/>
      <c r="U188" s="1"/>
      <c r="V188" s="1"/>
      <c r="W188" s="1"/>
      <c r="X188" s="1"/>
      <c r="Y188" s="1"/>
    </row>
    <row r="189" spans="18:25" ht="16.899999999999999" customHeight="1">
      <c r="R189" s="1"/>
      <c r="S189" s="1"/>
      <c r="T189" s="1"/>
      <c r="U189" s="1"/>
      <c r="V189" s="1"/>
      <c r="W189" s="1"/>
      <c r="X189" s="1"/>
      <c r="Y189" s="1"/>
    </row>
    <row r="190" spans="18:25" ht="16.899999999999999" customHeight="1">
      <c r="R190" s="1"/>
      <c r="S190" s="1"/>
      <c r="T190" s="1"/>
      <c r="U190" s="1"/>
      <c r="V190" s="1"/>
      <c r="W190" s="1"/>
      <c r="X190" s="1"/>
      <c r="Y190" s="1"/>
    </row>
    <row r="191" spans="18:25" ht="16.899999999999999" customHeight="1">
      <c r="R191" s="1"/>
      <c r="S191" s="1"/>
      <c r="T191" s="1"/>
      <c r="U191" s="1"/>
      <c r="V191" s="1"/>
      <c r="W191" s="1"/>
      <c r="X191" s="1"/>
      <c r="Y191" s="1"/>
    </row>
    <row r="192" spans="18:25" ht="16.899999999999999" customHeight="1">
      <c r="R192" s="1"/>
      <c r="S192" s="1"/>
      <c r="T192" s="1"/>
      <c r="U192" s="1"/>
      <c r="V192" s="1"/>
      <c r="W192" s="1"/>
      <c r="X192" s="1"/>
      <c r="Y192" s="1"/>
    </row>
    <row r="193" spans="18:29" ht="16.899999999999999" customHeight="1">
      <c r="R193" s="1"/>
      <c r="S193" s="1"/>
      <c r="T193" s="1"/>
      <c r="U193" s="1"/>
      <c r="V193" s="1"/>
      <c r="W193" s="1"/>
      <c r="X193" s="1"/>
      <c r="Y193" s="1"/>
    </row>
    <row r="194" spans="18:29" ht="16.899999999999999" customHeight="1">
      <c r="R194" s="1"/>
      <c r="S194" s="1"/>
      <c r="T194" s="1"/>
      <c r="U194" s="1"/>
      <c r="V194" s="1"/>
      <c r="W194" s="1"/>
      <c r="X194" s="1"/>
      <c r="Y194" s="1"/>
    </row>
    <row r="195" spans="18:29" ht="16.899999999999999" customHeight="1">
      <c r="R195" s="1"/>
      <c r="S195" s="1"/>
      <c r="T195" s="1"/>
      <c r="U195" s="1"/>
      <c r="V195" s="1"/>
      <c r="W195" s="1"/>
      <c r="X195" s="1"/>
      <c r="Y195" s="1"/>
    </row>
    <row r="196" spans="18:29" ht="16.899999999999999" customHeight="1">
      <c r="R196" s="1"/>
      <c r="S196" s="1"/>
      <c r="T196" s="1"/>
      <c r="U196" s="1"/>
      <c r="V196" s="1"/>
      <c r="W196" s="1"/>
      <c r="X196" s="1"/>
      <c r="Y196" s="1"/>
    </row>
    <row r="197" spans="18:29" ht="16.899999999999999" customHeight="1">
      <c r="R197" s="1"/>
      <c r="S197" s="1"/>
      <c r="T197" s="1"/>
      <c r="U197" s="1"/>
      <c r="V197" s="1"/>
      <c r="W197" s="1"/>
      <c r="X197" s="1"/>
      <c r="Y197" s="1"/>
    </row>
    <row r="198" spans="18:29" ht="16.899999999999999" customHeight="1">
      <c r="R198" s="1"/>
      <c r="S198" s="1"/>
      <c r="T198" s="1"/>
      <c r="U198" s="1"/>
      <c r="V198" s="1"/>
      <c r="W198" s="1"/>
      <c r="X198" s="1"/>
      <c r="Y198" s="1"/>
    </row>
    <row r="199" spans="18:29" ht="16.899999999999999" customHeight="1">
      <c r="R199" s="1"/>
      <c r="S199" s="1"/>
      <c r="T199" s="1"/>
      <c r="U199" s="1"/>
      <c r="V199" s="1"/>
      <c r="W199" s="1"/>
      <c r="X199" s="1"/>
      <c r="Y199" s="1"/>
      <c r="AC199" s="3"/>
    </row>
    <row r="200" spans="18:29" ht="16.899999999999999" customHeight="1">
      <c r="R200" s="1"/>
      <c r="S200" s="1"/>
      <c r="T200" s="1"/>
      <c r="U200" s="1"/>
      <c r="V200" s="1"/>
      <c r="W200" s="1"/>
      <c r="X200" s="1"/>
      <c r="Y200" s="1"/>
      <c r="AC200" s="3"/>
    </row>
    <row r="201" spans="18:29" ht="16.899999999999999" customHeight="1">
      <c r="R201" s="1"/>
      <c r="S201" s="1"/>
      <c r="T201" s="1"/>
      <c r="U201" s="1"/>
      <c r="V201" s="1"/>
      <c r="W201" s="1"/>
      <c r="X201" s="1"/>
      <c r="Y201" s="1"/>
      <c r="AC201" s="3"/>
    </row>
    <row r="202" spans="18:29" ht="16.899999999999999" customHeight="1">
      <c r="R202" s="1"/>
      <c r="S202" s="1"/>
      <c r="T202" s="1"/>
      <c r="U202" s="1"/>
      <c r="V202" s="1"/>
      <c r="W202" s="1"/>
      <c r="X202" s="1"/>
      <c r="Y202" s="1"/>
      <c r="AC202" s="3"/>
    </row>
    <row r="203" spans="18:29" ht="16.899999999999999" customHeight="1">
      <c r="R203" s="1"/>
      <c r="S203" s="1"/>
      <c r="T203" s="1"/>
      <c r="U203" s="1"/>
      <c r="V203" s="1"/>
      <c r="W203" s="1"/>
      <c r="X203" s="1"/>
      <c r="Y203" s="1"/>
      <c r="AC203" s="3"/>
    </row>
    <row r="204" spans="18:29" ht="16.899999999999999" customHeight="1">
      <c r="R204" s="1"/>
      <c r="S204" s="1"/>
      <c r="T204" s="1"/>
      <c r="U204" s="1"/>
      <c r="V204" s="1"/>
      <c r="W204" s="1"/>
      <c r="X204" s="1"/>
      <c r="Y204" s="1"/>
      <c r="AC204" s="3"/>
    </row>
    <row r="205" spans="18:29" ht="16.899999999999999" customHeight="1">
      <c r="R205" s="1"/>
      <c r="S205" s="1"/>
      <c r="T205" s="1"/>
      <c r="U205" s="1"/>
      <c r="V205" s="1"/>
      <c r="W205" s="1"/>
      <c r="X205" s="1"/>
      <c r="Y205" s="1"/>
      <c r="AC205" s="3"/>
    </row>
    <row r="206" spans="18:29" ht="16.899999999999999" customHeight="1">
      <c r="R206" s="1"/>
      <c r="S206" s="1"/>
      <c r="T206" s="1"/>
      <c r="U206" s="1"/>
      <c r="V206" s="1"/>
      <c r="W206" s="1"/>
      <c r="X206" s="1"/>
      <c r="Y206" s="1"/>
      <c r="AC206" s="3"/>
    </row>
    <row r="207" spans="18:29" ht="16.899999999999999" customHeight="1">
      <c r="R207" s="1"/>
      <c r="S207" s="1"/>
      <c r="T207" s="1"/>
      <c r="U207" s="1"/>
      <c r="V207" s="1"/>
      <c r="W207" s="1"/>
      <c r="X207" s="1"/>
      <c r="Y207" s="1"/>
      <c r="AC207" s="3"/>
    </row>
    <row r="208" spans="18:29" ht="16.899999999999999" customHeight="1">
      <c r="R208" s="1"/>
      <c r="S208" s="1"/>
      <c r="T208" s="1"/>
      <c r="U208" s="1"/>
      <c r="V208" s="1"/>
      <c r="W208" s="1"/>
      <c r="X208" s="1"/>
      <c r="Y208" s="1"/>
      <c r="AC208" s="3"/>
    </row>
    <row r="209" spans="18:29" ht="16.899999999999999" customHeight="1">
      <c r="R209" s="1"/>
      <c r="S209" s="1"/>
      <c r="T209" s="1"/>
      <c r="U209" s="1"/>
      <c r="V209" s="1"/>
      <c r="W209" s="1"/>
      <c r="X209" s="1"/>
      <c r="Y209" s="1"/>
      <c r="AC209" s="3"/>
    </row>
    <row r="210" spans="18:29" ht="16.899999999999999" customHeight="1">
      <c r="R210" s="1"/>
      <c r="S210" s="1"/>
      <c r="T210" s="1"/>
      <c r="U210" s="1"/>
      <c r="V210" s="1"/>
      <c r="W210" s="1"/>
      <c r="X210" s="1"/>
      <c r="Y210" s="1"/>
      <c r="AC210" s="3"/>
    </row>
    <row r="211" spans="18:29" ht="16.899999999999999" customHeight="1">
      <c r="R211" s="1"/>
      <c r="S211" s="1"/>
      <c r="T211" s="1"/>
      <c r="U211" s="1"/>
      <c r="V211" s="1"/>
      <c r="W211" s="1"/>
      <c r="X211" s="1"/>
      <c r="Y211" s="1"/>
      <c r="AC211" s="3"/>
    </row>
    <row r="212" spans="18:29" ht="16.899999999999999" customHeight="1">
      <c r="R212" s="1"/>
      <c r="S212" s="1"/>
      <c r="T212" s="1"/>
      <c r="U212" s="1"/>
      <c r="V212" s="1"/>
      <c r="W212" s="1"/>
      <c r="X212" s="1"/>
      <c r="Y212" s="1"/>
      <c r="AC212" s="3"/>
    </row>
    <row r="213" spans="18:29" ht="16.899999999999999" customHeight="1">
      <c r="R213" s="1"/>
      <c r="S213" s="1"/>
      <c r="T213" s="1"/>
      <c r="U213" s="1"/>
      <c r="V213" s="1"/>
      <c r="W213" s="1"/>
      <c r="X213" s="1"/>
      <c r="Y213" s="1"/>
    </row>
    <row r="214" spans="18:29" ht="16.899999999999999" customHeight="1">
      <c r="R214" s="1"/>
      <c r="S214" s="1"/>
      <c r="T214" s="1"/>
      <c r="U214" s="1"/>
      <c r="V214" s="1"/>
      <c r="W214" s="1"/>
      <c r="X214" s="1"/>
      <c r="Y214" s="1"/>
    </row>
    <row r="215" spans="18:29" ht="16.899999999999999" customHeight="1">
      <c r="R215" s="1"/>
      <c r="S215" s="1"/>
      <c r="T215" s="1"/>
      <c r="U215" s="1"/>
      <c r="V215" s="1"/>
      <c r="W215" s="1"/>
      <c r="X215" s="1"/>
      <c r="Y215" s="1"/>
    </row>
    <row r="216" spans="18:29" ht="16.899999999999999" customHeight="1">
      <c r="R216" s="1"/>
      <c r="S216" s="1"/>
      <c r="T216" s="1"/>
      <c r="U216" s="1"/>
      <c r="V216" s="1"/>
      <c r="W216" s="1"/>
      <c r="X216" s="1"/>
      <c r="Y216" s="1"/>
    </row>
    <row r="217" spans="18:29" ht="16.899999999999999" customHeight="1">
      <c r="R217" s="1"/>
      <c r="S217" s="1"/>
      <c r="T217" s="1"/>
      <c r="U217" s="1"/>
      <c r="V217" s="1"/>
      <c r="W217" s="1"/>
      <c r="X217" s="1"/>
      <c r="Y217" s="1"/>
    </row>
    <row r="218" spans="18:29" ht="16.899999999999999" customHeight="1">
      <c r="R218" s="1"/>
      <c r="S218" s="1"/>
      <c r="T218" s="1"/>
      <c r="U218" s="1"/>
      <c r="V218" s="1"/>
      <c r="W218" s="1"/>
      <c r="X218" s="1"/>
      <c r="Y218" s="1"/>
    </row>
    <row r="219" spans="18:29" ht="16.899999999999999" customHeight="1">
      <c r="R219" s="1"/>
      <c r="S219" s="1"/>
      <c r="T219" s="1"/>
      <c r="U219" s="1"/>
      <c r="V219" s="1"/>
      <c r="W219" s="1"/>
      <c r="X219" s="1"/>
      <c r="Y219" s="1"/>
    </row>
    <row r="220" spans="18:29" ht="16.899999999999999" customHeight="1">
      <c r="R220" s="1"/>
      <c r="S220" s="1"/>
      <c r="T220" s="1"/>
      <c r="U220" s="1"/>
      <c r="V220" s="1"/>
      <c r="W220" s="1"/>
      <c r="X220" s="1"/>
      <c r="Y220" s="1"/>
    </row>
    <row r="221" spans="18:29" ht="16.899999999999999" customHeight="1">
      <c r="R221" s="1"/>
      <c r="S221" s="1"/>
      <c r="T221" s="1"/>
      <c r="U221" s="1"/>
      <c r="V221" s="1"/>
      <c r="W221" s="1"/>
      <c r="X221" s="1"/>
      <c r="Y221" s="1"/>
    </row>
    <row r="222" spans="18:29" ht="16.899999999999999" customHeight="1">
      <c r="R222" s="1"/>
      <c r="S222" s="1"/>
      <c r="T222" s="1"/>
      <c r="U222" s="1"/>
      <c r="V222" s="1"/>
      <c r="W222" s="1"/>
      <c r="X222" s="1"/>
      <c r="Y222" s="1"/>
    </row>
    <row r="223" spans="18:29" ht="16.899999999999999" customHeight="1">
      <c r="R223" s="1"/>
      <c r="S223" s="1"/>
      <c r="T223" s="1"/>
      <c r="U223" s="1"/>
      <c r="V223" s="1"/>
      <c r="W223" s="1"/>
      <c r="X223" s="1"/>
      <c r="Y223" s="1"/>
    </row>
    <row r="224" spans="18:29" ht="16.899999999999999" customHeight="1">
      <c r="R224" s="1"/>
      <c r="S224" s="1"/>
      <c r="T224" s="1"/>
      <c r="U224" s="1"/>
      <c r="V224" s="1"/>
      <c r="W224" s="1"/>
      <c r="X224" s="1"/>
      <c r="Y224" s="1"/>
    </row>
    <row r="225" spans="18:25" ht="16.899999999999999" customHeight="1">
      <c r="R225" s="1"/>
      <c r="S225" s="1"/>
      <c r="T225" s="1"/>
      <c r="U225" s="1"/>
      <c r="V225" s="1"/>
      <c r="W225" s="1"/>
      <c r="X225" s="1"/>
      <c r="Y225" s="1"/>
    </row>
    <row r="226" spans="18:25" ht="16.899999999999999" customHeight="1">
      <c r="R226" s="1"/>
      <c r="S226" s="1"/>
      <c r="T226" s="1"/>
      <c r="U226" s="1"/>
      <c r="V226" s="1"/>
      <c r="W226" s="1"/>
      <c r="X226" s="1"/>
      <c r="Y226" s="1"/>
    </row>
    <row r="227" spans="18:25" ht="16.899999999999999" customHeight="1">
      <c r="S227" s="1"/>
      <c r="T227" s="1"/>
      <c r="U227" s="1"/>
      <c r="V227" s="1"/>
      <c r="W227" s="1"/>
      <c r="X227" s="1"/>
      <c r="Y227" s="1"/>
    </row>
    <row r="228" spans="18:25" ht="16.899999999999999" customHeight="1">
      <c r="S228" s="1"/>
      <c r="T228" s="1"/>
      <c r="U228" s="1"/>
      <c r="V228" s="1"/>
      <c r="W228" s="1"/>
      <c r="X228" s="1"/>
      <c r="Y228" s="1"/>
    </row>
    <row r="229" spans="18:25" ht="16.899999999999999" customHeight="1">
      <c r="S229" s="1"/>
      <c r="T229" s="1"/>
      <c r="U229" s="1"/>
      <c r="V229" s="1"/>
      <c r="W229" s="1"/>
      <c r="X229" s="1"/>
      <c r="Y229" s="1"/>
    </row>
    <row r="230" spans="18:25" ht="16.899999999999999" customHeight="1">
      <c r="S230" s="1"/>
      <c r="T230" s="1"/>
      <c r="U230" s="1"/>
      <c r="V230" s="1"/>
      <c r="W230" s="1"/>
      <c r="X230" s="1"/>
      <c r="Y230" s="1"/>
    </row>
  </sheetData>
  <sheetProtection algorithmName="SHA-512" hashValue="l0GKn+24Qc+NLUeqD204DyaBvHqdYwG1LuH/tik/r+WOqP0OQB486Aroe1pFCoxz7nPLV3Bxw+WJUEiqAcB+CQ==" saltValue="m7Xtm4DMbuYJhLufqUZrMQ==" spinCount="100000" sheet="1" objects="1" scenarios="1"/>
  <mergeCells count="56">
    <mergeCell ref="O55:P55"/>
    <mergeCell ref="C51:D51"/>
    <mergeCell ref="N51:P51"/>
    <mergeCell ref="O52:P52"/>
    <mergeCell ref="O53:P53"/>
    <mergeCell ref="O54:P54"/>
    <mergeCell ref="P19:P20"/>
    <mergeCell ref="Q19:Q20"/>
    <mergeCell ref="R19:R20"/>
    <mergeCell ref="L32:M32"/>
    <mergeCell ref="N32:O32"/>
    <mergeCell ref="K19:K20"/>
    <mergeCell ref="L19:L20"/>
    <mergeCell ref="M19:M20"/>
    <mergeCell ref="N19:N20"/>
    <mergeCell ref="O19:O20"/>
    <mergeCell ref="C2:D2"/>
    <mergeCell ref="H11:I11"/>
    <mergeCell ref="H19:H21"/>
    <mergeCell ref="I19:I20"/>
    <mergeCell ref="J19:J20"/>
    <mergeCell ref="C35:E35"/>
    <mergeCell ref="C37:E37"/>
    <mergeCell ref="Z140:AB140"/>
    <mergeCell ref="AA120:AB120"/>
    <mergeCell ref="Z110:AB110"/>
    <mergeCell ref="AA111:AB111"/>
    <mergeCell ref="AA112:AB112"/>
    <mergeCell ref="AA113:AB113"/>
    <mergeCell ref="AA114:AB114"/>
    <mergeCell ref="Z116:AB116"/>
    <mergeCell ref="AA117:AB117"/>
    <mergeCell ref="AA118:AB118"/>
    <mergeCell ref="AA119:AB119"/>
    <mergeCell ref="C48:D48"/>
    <mergeCell ref="C49:D49"/>
    <mergeCell ref="C50:D50"/>
    <mergeCell ref="AA150:AB150"/>
    <mergeCell ref="AA142:AB142"/>
    <mergeCell ref="AA143:AB143"/>
    <mergeCell ref="AA144:AB144"/>
    <mergeCell ref="Z146:AB146"/>
    <mergeCell ref="AA147:AB147"/>
    <mergeCell ref="AA148:AB148"/>
    <mergeCell ref="AA149:AB149"/>
    <mergeCell ref="AA141:AB141"/>
    <mergeCell ref="Z126:AB126"/>
    <mergeCell ref="AA127:AB127"/>
    <mergeCell ref="AA128:AB128"/>
    <mergeCell ref="AA129:AB129"/>
    <mergeCell ref="AA130:AB130"/>
    <mergeCell ref="Z132:AB132"/>
    <mergeCell ref="AA133:AB133"/>
    <mergeCell ref="AA134:AB134"/>
    <mergeCell ref="AA135:AB135"/>
    <mergeCell ref="AA136:AB136"/>
  </mergeCells>
  <phoneticPr fontId="2"/>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86E6-8458-4174-8C6D-BAD93DB1C8B0}">
  <sheetPr codeName="Sheet16"/>
  <dimension ref="A1:DE40"/>
  <sheetViews>
    <sheetView showGridLines="0" showRowColHeaders="0" zoomScaleNormal="100" workbookViewId="0">
      <pane xSplit="6" ySplit="3" topLeftCell="G4" activePane="bottomRight" state="frozen"/>
      <selection activeCell="C7" sqref="C7:Z8"/>
      <selection pane="topRight" activeCell="C7" sqref="C7:Z8"/>
      <selection pane="bottomLeft" activeCell="C7" sqref="C7:Z8"/>
      <selection pane="bottomRight" activeCell="G4" sqref="G4"/>
    </sheetView>
  </sheetViews>
  <sheetFormatPr defaultColWidth="3.375" defaultRowHeight="20.25" customHeight="1"/>
  <cols>
    <col min="4" max="4" width="12.875" bestFit="1" customWidth="1"/>
    <col min="5" max="5" width="13.75" customWidth="1"/>
    <col min="10" max="10" width="50.625" bestFit="1" customWidth="1"/>
    <col min="11" max="11" width="6" bestFit="1" customWidth="1"/>
    <col min="12" max="12" width="9.875" customWidth="1"/>
    <col min="13" max="13" width="47.125" bestFit="1" customWidth="1"/>
    <col min="15" max="16" width="3.375" customWidth="1"/>
    <col min="17" max="17" width="6.75" bestFit="1" customWidth="1"/>
    <col min="18" max="18" width="11.875" bestFit="1" customWidth="1"/>
    <col min="36" max="36" width="5.25" bestFit="1" customWidth="1"/>
    <col min="37" max="37" width="8.75" bestFit="1" customWidth="1"/>
    <col min="38" max="39" width="7.125" bestFit="1" customWidth="1"/>
    <col min="40" max="40" width="11" bestFit="1" customWidth="1"/>
    <col min="41" max="41" width="9" bestFit="1" customWidth="1"/>
    <col min="42" max="42" width="11" bestFit="1" customWidth="1"/>
    <col min="43" max="43" width="5.75" customWidth="1"/>
    <col min="44" max="45" width="7.125" bestFit="1" customWidth="1"/>
    <col min="46" max="46" width="8.125" bestFit="1" customWidth="1"/>
    <col min="47" max="47" width="3.375" customWidth="1"/>
    <col min="64" max="64" width="7.125" bestFit="1" customWidth="1"/>
    <col min="65" max="65" width="12.875" bestFit="1" customWidth="1"/>
    <col min="66" max="66" width="13.125" bestFit="1" customWidth="1"/>
    <col min="96" max="96" width="5.5" bestFit="1" customWidth="1"/>
    <col min="97" max="97" width="8.5" bestFit="1" customWidth="1"/>
    <col min="98" max="98" width="11.25" bestFit="1" customWidth="1"/>
    <col min="99" max="99" width="7.25" bestFit="1" customWidth="1"/>
    <col min="100" max="100" width="11.25" bestFit="1" customWidth="1"/>
    <col min="101" max="102" width="6.125" bestFit="1" customWidth="1"/>
    <col min="106" max="106" width="8.75" bestFit="1" customWidth="1"/>
    <col min="107" max="107" width="12.25" bestFit="1" customWidth="1"/>
    <col min="108" max="108" width="2.375" bestFit="1" customWidth="1"/>
    <col min="109" max="109" width="2.5" bestFit="1" customWidth="1"/>
  </cols>
  <sheetData>
    <row r="1" spans="1:109" s="78" customFormat="1" ht="20.25" customHeight="1">
      <c r="A1" s="78" t="s">
        <v>406</v>
      </c>
    </row>
    <row r="2" spans="1:109" s="78" customFormat="1" ht="30">
      <c r="A2" s="79" t="s">
        <v>407</v>
      </c>
      <c r="B2" s="79"/>
    </row>
    <row r="3" spans="1:109" s="80" customFormat="1" ht="7.5" customHeight="1"/>
    <row r="5" spans="1:109" ht="20.25" customHeight="1">
      <c r="B5" s="70" t="s">
        <v>472</v>
      </c>
      <c r="H5" s="126" t="s">
        <v>473</v>
      </c>
      <c r="CQ5" s="59" t="s">
        <v>654</v>
      </c>
    </row>
    <row r="6" spans="1:109" ht="20.25" customHeight="1">
      <c r="C6" s="70" t="s">
        <v>408</v>
      </c>
      <c r="I6" s="126" t="s">
        <v>465</v>
      </c>
      <c r="N6" s="1"/>
      <c r="O6" s="126" t="s">
        <v>425</v>
      </c>
      <c r="P6" s="59"/>
      <c r="Q6" s="59"/>
      <c r="R6" s="96"/>
      <c r="S6" s="96"/>
      <c r="T6" s="59"/>
      <c r="U6" s="96"/>
      <c r="V6" s="96"/>
      <c r="W6" s="96"/>
      <c r="X6" s="59"/>
      <c r="Y6" s="59"/>
      <c r="Z6" s="59"/>
      <c r="AA6" s="59"/>
      <c r="AB6" s="59"/>
      <c r="AC6" s="59"/>
      <c r="AD6" s="59"/>
      <c r="AE6" s="59"/>
      <c r="AF6" s="59"/>
      <c r="AG6" s="59"/>
      <c r="AH6" s="126" t="s">
        <v>424</v>
      </c>
      <c r="AI6" s="126"/>
      <c r="AJ6" s="59"/>
      <c r="AK6" s="96"/>
      <c r="AL6" s="59"/>
      <c r="AM6" s="59"/>
      <c r="AN6" s="59"/>
      <c r="AO6" s="59"/>
      <c r="AP6" s="96"/>
      <c r="AQ6" s="96"/>
      <c r="AR6" s="59"/>
      <c r="AS6" s="59"/>
      <c r="AT6" s="59"/>
    </row>
    <row r="7" spans="1:109" ht="20.25" customHeight="1">
      <c r="D7" s="75" t="s">
        <v>357</v>
      </c>
      <c r="E7" s="127">
        <f>BN26</f>
        <v>-2.6051561000000001E-2</v>
      </c>
      <c r="J7" s="157" t="s">
        <v>420</v>
      </c>
      <c r="K7" s="158" t="s">
        <v>4</v>
      </c>
      <c r="L7" s="110">
        <f>_xlfn.LET(
    _xlpm._rate_flow_max__cubic_metre_per_h, L10,
    _xlpm._defference_temperature__K, 入力3!E6,
    _xlpm._capacity_heat_specific_of_water__J_per_kg_K, 4186,
    _xlpm._density_of_water__kg_per_cubic_metre, 10 ^ 3,
    _xlpm._add_prefix_kilo, 10 ^ -3,
    _xlpm._convert_J_to_Ws, 1,
    _xlpm._convert_h_to_s, 60 ^ -2,
    _xlpm._rate_flow_mass_max__kg_per_h, _xlpm._rate_flow_max__cubic_metre_per_h *
        _xlpm._density_of_water__kg_per_cubic_metre,
    _xlpm._capacity_heat_specific_of_water__J_per_kg_K *
        _xlpm._rate_flow_mass_max__kg_per_h * _xlpm._defference_temperature__K *
        _xlpm._convert_J_to_Ws * _xlpm._convert_h_to_s * _xlpm._add_prefix_kilo
)</f>
        <v>266857.5</v>
      </c>
      <c r="M7" s="130"/>
      <c r="N7" s="1"/>
      <c r="P7" s="59" t="s">
        <v>458</v>
      </c>
      <c r="Q7" s="59"/>
      <c r="R7" s="59"/>
      <c r="S7" s="59"/>
      <c r="T7" s="59"/>
      <c r="U7" s="96"/>
      <c r="V7" s="96"/>
      <c r="W7" s="96"/>
      <c r="X7" s="59"/>
      <c r="Y7" s="59"/>
      <c r="Z7" s="59"/>
      <c r="AA7" s="59"/>
      <c r="AB7" s="59"/>
      <c r="AC7" s="59"/>
      <c r="AD7" s="59"/>
      <c r="AE7" s="59"/>
      <c r="AF7" s="59"/>
      <c r="AG7" s="59"/>
      <c r="AH7" s="126"/>
      <c r="AI7" s="126" t="s">
        <v>649</v>
      </c>
      <c r="AJ7" s="59"/>
      <c r="AK7" s="96"/>
      <c r="AL7" s="59"/>
      <c r="AM7" s="59"/>
      <c r="AN7" s="59"/>
      <c r="AO7" s="59"/>
      <c r="AP7" s="96"/>
      <c r="AQ7" s="96"/>
      <c r="AR7" s="59"/>
      <c r="AS7" s="59"/>
      <c r="AT7" s="59"/>
      <c r="AV7" s="59" t="s">
        <v>462</v>
      </c>
      <c r="AX7" s="1"/>
      <c r="AY7" s="1"/>
      <c r="AZ7" s="1"/>
      <c r="BA7" s="1"/>
      <c r="BB7" s="1"/>
      <c r="BC7" s="1"/>
      <c r="BD7" s="1"/>
      <c r="BE7" s="1"/>
      <c r="BF7" s="1"/>
      <c r="BG7" s="1"/>
      <c r="BH7" s="8"/>
    </row>
    <row r="8" spans="1:109" ht="20.25" customHeight="1">
      <c r="D8" s="75" t="s">
        <v>359</v>
      </c>
      <c r="E8" s="127">
        <f>BN27</f>
        <v>0.45723922299999997</v>
      </c>
      <c r="J8" s="157" t="s">
        <v>421</v>
      </c>
      <c r="K8" s="158" t="str" cm="1">
        <f t="array" ref="K8">INDEX(入力1!O16:O20,入力1!O15)</f>
        <v>L/s</v>
      </c>
      <c r="L8" s="77">
        <f>入力2!I7*入力3!E11</f>
        <v>12750</v>
      </c>
      <c r="M8" s="94" t="s">
        <v>355</v>
      </c>
      <c r="N8" s="1"/>
      <c r="P8" s="59" t="s">
        <v>459</v>
      </c>
      <c r="Q8" s="59"/>
      <c r="R8" s="59"/>
      <c r="S8" s="59"/>
      <c r="T8" s="59"/>
      <c r="U8" s="96"/>
      <c r="V8" s="96"/>
      <c r="W8" s="96"/>
      <c r="X8" s="59"/>
      <c r="Y8" s="59"/>
      <c r="Z8" s="59"/>
      <c r="AA8" s="59"/>
      <c r="AB8" s="59"/>
      <c r="AC8" s="59"/>
      <c r="AD8" s="59"/>
      <c r="AE8" s="59"/>
      <c r="AF8" s="59"/>
      <c r="AG8" s="59"/>
      <c r="AH8" s="59"/>
      <c r="AI8" s="59"/>
      <c r="AJ8" s="116"/>
      <c r="AK8" s="119"/>
      <c r="AL8" s="119"/>
      <c r="AM8" s="120" t="s">
        <v>437</v>
      </c>
      <c r="AN8" s="119" t="s">
        <v>445</v>
      </c>
      <c r="AO8" s="119" t="s">
        <v>441</v>
      </c>
      <c r="AP8" s="119" t="s">
        <v>445</v>
      </c>
      <c r="AQ8" s="119"/>
      <c r="AR8" s="121" t="s">
        <v>452</v>
      </c>
      <c r="AS8" s="121"/>
      <c r="AT8" s="121" t="s">
        <v>455</v>
      </c>
      <c r="AX8" s="1"/>
      <c r="AY8" s="1"/>
      <c r="BA8" s="1"/>
      <c r="BB8" s="1"/>
      <c r="BC8" s="1"/>
      <c r="BD8" s="1"/>
      <c r="BE8" s="1"/>
      <c r="BF8" s="1"/>
      <c r="BG8" s="1"/>
      <c r="BH8" s="8"/>
      <c r="BL8" s="403" t="s">
        <v>9</v>
      </c>
      <c r="BM8" s="403"/>
      <c r="BN8" s="403"/>
      <c r="CR8" s="241" t="s">
        <v>655</v>
      </c>
      <c r="CS8" s="241" t="s">
        <v>656</v>
      </c>
      <c r="CT8" s="241" t="s">
        <v>657</v>
      </c>
      <c r="CU8" s="241" t="s">
        <v>658</v>
      </c>
      <c r="CV8" s="241" t="s">
        <v>659</v>
      </c>
      <c r="CW8" s="241" t="s">
        <v>9</v>
      </c>
      <c r="CX8" s="241" t="s">
        <v>655</v>
      </c>
      <c r="CZ8" t="s">
        <v>652</v>
      </c>
      <c r="DA8" t="s">
        <v>653</v>
      </c>
      <c r="DB8" t="str" cm="1">
        <f t="array" aca="1" ref="DB8:DB11" ca="1">_xlfn.LET(
    _xlpm._coefficients,_xlfn.ANCHORARRAY( CW9),
    _xlpm._orders,_xlfn.ANCHORARRAY( CX9),
    _xlpm._max_order, MAX(_xlpm._orders),
    _xlfn.MAP(
        _xlpm._coefficients,
        _xlpm._orders,
        _xlfn.LAMBDA(_xlpm._coefficient,_xlpm._order,
            IF(
                SIGN(_xlpm._coefficient) &gt; 0,
                IF(_xlpm._order = _xlpm._max_order, "", "+"),
                "-"
            )
        )
    )
)</f>
        <v/>
      </c>
      <c r="DC8" s="240" cm="1">
        <f t="array" aca="1" ref="DC8:DC11" ca="1">ABS(_xlfn.ANCHORARRAY(CW9))</f>
        <v>3.7230828000000001E-2</v>
      </c>
      <c r="DD8" t="str" cm="1">
        <f t="array" aca="1" ref="DD8:DD11" ca="1">IF(_xlfn.ANCHORARRAY(CX9)&gt;0,"x","")</f>
        <v>x</v>
      </c>
      <c r="DE8" cm="1">
        <f t="array" aca="1" ref="DE8:DE11" ca="1">IF(_xlfn.ANCHORARRAY(CX9)&gt;1,_xlfn.ANCHORARRAY(CX9),"")</f>
        <v>3</v>
      </c>
    </row>
    <row r="9" spans="1:109" ht="20.25" customHeight="1">
      <c r="D9" s="75" t="s">
        <v>358</v>
      </c>
      <c r="E9" s="127">
        <f>BN28</f>
        <v>8.7688149999999992E-3</v>
      </c>
      <c r="N9" s="1"/>
      <c r="P9" t="s">
        <v>460</v>
      </c>
      <c r="R9" s="59"/>
      <c r="S9" s="59"/>
      <c r="T9" s="59"/>
      <c r="U9" s="96"/>
      <c r="V9" s="96"/>
      <c r="W9" s="96"/>
      <c r="X9" s="59"/>
      <c r="Y9" s="59"/>
      <c r="Z9" s="59"/>
      <c r="AA9" s="59"/>
      <c r="AB9" s="59"/>
      <c r="AC9" s="59"/>
      <c r="AD9" s="59"/>
      <c r="AE9" s="59"/>
      <c r="AF9" s="59"/>
      <c r="AG9" s="59"/>
      <c r="AH9" s="59"/>
      <c r="AI9" s="59"/>
      <c r="AJ9" s="117"/>
      <c r="AK9" s="122" t="s">
        <v>431</v>
      </c>
      <c r="AL9" s="123" t="s">
        <v>433</v>
      </c>
      <c r="AM9" s="122" t="s">
        <v>436</v>
      </c>
      <c r="AN9" s="122" t="s">
        <v>444</v>
      </c>
      <c r="AO9" s="122" t="s">
        <v>440</v>
      </c>
      <c r="AP9" s="122" t="s">
        <v>444</v>
      </c>
      <c r="AQ9" s="122" t="s">
        <v>449</v>
      </c>
      <c r="AR9" s="122" t="s">
        <v>451</v>
      </c>
      <c r="AS9" s="122" t="s">
        <v>453</v>
      </c>
      <c r="AT9" s="122" t="s">
        <v>454</v>
      </c>
      <c r="AX9" s="1"/>
      <c r="AY9" s="1"/>
      <c r="AZ9" s="1"/>
      <c r="BA9" s="1"/>
      <c r="BB9" s="1"/>
      <c r="BC9" s="1"/>
      <c r="BD9" s="1"/>
      <c r="BE9" s="1"/>
      <c r="BF9" s="1"/>
      <c r="BG9" s="1"/>
      <c r="BH9" s="8"/>
      <c r="BL9" s="284" t="s">
        <v>648</v>
      </c>
      <c r="BM9" s="219" t="s">
        <v>357</v>
      </c>
      <c r="BN9" s="218" cm="1">
        <f t="array" aca="1" ref="BN9" ca="1">ROUND(INDEX(LINEST('3次式係数計算過程'!AT13:AT22,'3次式係数計算過程'!AL13:AL22^{1,2,3},TRUE),1,1),9)</f>
        <v>3.7230828000000001E-2</v>
      </c>
      <c r="CR9" cm="1">
        <f t="array" ref="CR9:CR12">_xlfn._xlws.SORT(_xlfn.VSTACK(_xlfn.SEQUENCE(3),0),1,-1)</f>
        <v>3</v>
      </c>
      <c r="CS9" t="b" cm="1">
        <f t="array" aca="1" ref="CS9:CS12" ca="1">BN9:BN12&lt;&gt;0</f>
        <v>1</v>
      </c>
      <c r="CT9" t="b" cm="1">
        <f t="array" aca="1" ref="CT9:CT12" ca="1">LEN(BN9:BN12)&gt;0</f>
        <v>1</v>
      </c>
      <c r="CU9" t="b" cm="1">
        <f t="array" aca="1" ref="CU9:CU12" ca="1">_xlfn.MAP(_xlfn.ANCHORARRAY(CS9),_xlfn.ANCHORARRAY(CT9),_xlfn.LAMBDA(_xlpm._not_0,_xlpm._not_blank,AND(_xlpm._not_0,_xlpm._not_blank)))</f>
        <v>1</v>
      </c>
      <c r="CV9" cm="1">
        <f t="array" aca="1" ref="CV9:CV12" ca="1">_xlfn.LET(_xlpm._temp,_xlfn._xlws.SORT(_xlfn.UNIQUE(_xlfn.SEQUENCE(ROWS(BM9:BM12))*_xlfn.ANCHORARRAY(CU9))),IF(ROWS(_xlpm._temp)=1,IF(_xlpm._temp=0,NA(),_xlpm._temp),_xlfn.UNIQUE(IF(_xlpm._temp=0,INDEX(_xlpm._temp,2),_xlpm._temp))))</f>
        <v>1</v>
      </c>
      <c r="CW9" cm="1">
        <f t="array" aca="1" ref="CW9:CW12" ca="1">_xlfn.CHOOSEROWS(BN9:BN12,_xlfn.ANCHORARRAY(CV9))</f>
        <v>3.7230828000000001E-2</v>
      </c>
      <c r="CX9" cm="1">
        <f t="array" aca="1" ref="CX9:CX12" ca="1">_xlfn.CHOOSEROWS(_xlfn.ANCHORARRAY(CR9),_xlfn.ANCHORARRAY(CV9))</f>
        <v>3</v>
      </c>
      <c r="DB9" t="str">
        <f ca="1"/>
        <v>+</v>
      </c>
      <c r="DC9" s="240">
        <f ca="1"/>
        <v>0.38202519899999998</v>
      </c>
      <c r="DD9" t="str">
        <f ca="1"/>
        <v>x</v>
      </c>
      <c r="DE9">
        <f ca="1"/>
        <v>2</v>
      </c>
    </row>
    <row r="10" spans="1:109" ht="20.25" customHeight="1">
      <c r="D10" s="75" t="s">
        <v>360</v>
      </c>
      <c r="E10" s="127">
        <f>BN29</f>
        <v>4.5688499999999997E-4</v>
      </c>
      <c r="J10" s="112" t="s">
        <v>421</v>
      </c>
      <c r="K10" s="107" t="s">
        <v>419</v>
      </c>
      <c r="L10" s="77">
        <f>IF(入力1!O15=1,入力2!I7,IF(入力1!O15=2,入力2!I7*60,IF(入力1!O15=3,入力2!I7/1000,IF(入力1!O15=4,入力2!I7*60/1000,IF(入力1!O15=5,入力2!I7*3600/1000,"NA")))))*入力3!E11</f>
        <v>45900</v>
      </c>
      <c r="M10" s="94" t="s">
        <v>355</v>
      </c>
      <c r="N10" s="1"/>
      <c r="R10" s="59"/>
      <c r="S10" s="59"/>
      <c r="T10" s="59"/>
      <c r="U10" s="96"/>
      <c r="V10" s="96"/>
      <c r="W10" s="96"/>
      <c r="X10" s="59"/>
      <c r="Y10" s="59"/>
      <c r="Z10" s="59"/>
      <c r="AA10" s="59"/>
      <c r="AB10" s="59"/>
      <c r="AC10" s="59"/>
      <c r="AD10" s="59"/>
      <c r="AE10" s="59"/>
      <c r="AF10" s="59"/>
      <c r="AG10" s="59"/>
      <c r="AH10" s="59"/>
      <c r="AI10" s="59"/>
      <c r="AJ10" s="117" t="s">
        <v>429</v>
      </c>
      <c r="AK10" s="122" t="s">
        <v>430</v>
      </c>
      <c r="AL10" s="122" t="s">
        <v>432</v>
      </c>
      <c r="AM10" s="122" t="s">
        <v>435</v>
      </c>
      <c r="AN10" s="122" t="s">
        <v>443</v>
      </c>
      <c r="AO10" s="122" t="s">
        <v>439</v>
      </c>
      <c r="AP10" s="122" t="s">
        <v>447</v>
      </c>
      <c r="AQ10" s="122" t="s">
        <v>448</v>
      </c>
      <c r="AR10" s="122" t="s">
        <v>450</v>
      </c>
      <c r="AS10" s="122" t="s">
        <v>454</v>
      </c>
      <c r="AT10" s="122" t="s">
        <v>450</v>
      </c>
      <c r="AX10" s="1"/>
      <c r="AY10" s="1"/>
      <c r="AZ10" s="1"/>
      <c r="BA10" s="1"/>
      <c r="BB10" s="1"/>
      <c r="BC10" s="1"/>
      <c r="BD10" s="1"/>
      <c r="BE10" s="1"/>
      <c r="BF10" s="1"/>
      <c r="BG10" s="1"/>
      <c r="BH10" s="8"/>
      <c r="BL10" s="284"/>
      <c r="BM10" s="77" t="s">
        <v>359</v>
      </c>
      <c r="BN10" s="113" cm="1">
        <f t="array" aca="1" ref="BN10" ca="1">ROUND(INDEX(LINEST('3次式係数計算過程'!AT13:AT22,'3次式係数計算過程'!AL13:AL22^{1,2,3},TRUE),1,2),9)</f>
        <v>0.38202519899999998</v>
      </c>
      <c r="CR10">
        <v>2</v>
      </c>
      <c r="CS10" t="b">
        <f ca="1"/>
        <v>1</v>
      </c>
      <c r="CT10" t="b">
        <f ca="1"/>
        <v>1</v>
      </c>
      <c r="CU10" t="b">
        <f ca="1"/>
        <v>1</v>
      </c>
      <c r="CV10">
        <f ca="1"/>
        <v>2</v>
      </c>
      <c r="CW10">
        <f ca="1"/>
        <v>0.38202519899999998</v>
      </c>
      <c r="CX10">
        <f ca="1"/>
        <v>2</v>
      </c>
      <c r="DB10" t="str">
        <f ca="1"/>
        <v>+</v>
      </c>
      <c r="DC10" s="240">
        <f ca="1"/>
        <v>0.17</v>
      </c>
      <c r="DD10" t="str">
        <f ca="1"/>
        <v>x</v>
      </c>
      <c r="DE10" t="str">
        <f ca="1"/>
        <v/>
      </c>
    </row>
    <row r="11" spans="1:109" ht="20.25" customHeight="1">
      <c r="J11" s="112" t="s">
        <v>751</v>
      </c>
      <c r="K11" s="107" t="s">
        <v>419</v>
      </c>
      <c r="L11" s="111">
        <f>(L10/入力3!E11)*(入力3!E12/10^2)</f>
        <v>9180</v>
      </c>
      <c r="M11" s="95" t="s">
        <v>750</v>
      </c>
      <c r="N11" s="1"/>
      <c r="P11" s="59" t="s">
        <v>13</v>
      </c>
      <c r="R11" s="59"/>
      <c r="S11" s="59"/>
      <c r="T11" s="59"/>
      <c r="U11" s="96"/>
      <c r="V11" s="96"/>
      <c r="W11" s="96"/>
      <c r="X11" s="59"/>
      <c r="Y11" s="59"/>
      <c r="Z11" s="59"/>
      <c r="AA11" s="59"/>
      <c r="AB11" s="59"/>
      <c r="AC11" s="59"/>
      <c r="AD11" s="59"/>
      <c r="AE11" s="59"/>
      <c r="AF11" s="59"/>
      <c r="AG11" s="59"/>
      <c r="AH11" s="59"/>
      <c r="AI11" s="59"/>
      <c r="AJ11" s="117"/>
      <c r="AK11" s="115" t="s">
        <v>434</v>
      </c>
      <c r="AL11" s="115" t="s">
        <v>461</v>
      </c>
      <c r="AM11" s="128" t="s">
        <v>426</v>
      </c>
      <c r="AN11" s="115" t="s">
        <v>755</v>
      </c>
      <c r="AO11" s="115" t="s">
        <v>442</v>
      </c>
      <c r="AP11" s="115" t="s">
        <v>446</v>
      </c>
      <c r="AQ11" s="115" t="s">
        <v>427</v>
      </c>
      <c r="AR11" s="129" t="s">
        <v>754</v>
      </c>
      <c r="AS11" s="129" t="s">
        <v>456</v>
      </c>
      <c r="AT11" s="129" t="s">
        <v>457</v>
      </c>
      <c r="AX11" s="1"/>
      <c r="AY11" s="1"/>
      <c r="AZ11" s="1"/>
      <c r="BA11" s="1"/>
      <c r="BB11" s="1"/>
      <c r="BC11" s="1"/>
      <c r="BD11" s="2"/>
      <c r="BE11" s="1"/>
      <c r="BF11" s="1"/>
      <c r="BG11" s="1"/>
      <c r="BH11" s="8"/>
      <c r="BL11" s="284"/>
      <c r="BM11" s="77" t="s">
        <v>358</v>
      </c>
      <c r="BN11" s="113" cm="1">
        <f t="array" aca="1" ref="BN11" ca="1">ROUND(INDEX(LINEST('3次式係数計算過程'!AT13:AT22,'3次式係数計算過程'!AL13:AL22^{1,2,3},TRUE),1,3),2)</f>
        <v>0.17</v>
      </c>
      <c r="CR11">
        <v>1</v>
      </c>
      <c r="CS11" t="b">
        <f ca="1"/>
        <v>1</v>
      </c>
      <c r="CT11" t="b">
        <f ca="1"/>
        <v>1</v>
      </c>
      <c r="CU11" t="b">
        <f ca="1"/>
        <v>1</v>
      </c>
      <c r="CV11">
        <f ca="1"/>
        <v>3</v>
      </c>
      <c r="CW11">
        <f ca="1"/>
        <v>0.17</v>
      </c>
      <c r="CX11">
        <f ca="1"/>
        <v>1</v>
      </c>
      <c r="DB11" t="str">
        <f ca="1"/>
        <v>-</v>
      </c>
      <c r="DC11" s="240">
        <f ca="1"/>
        <v>1.9028669999999999E-3</v>
      </c>
      <c r="DD11" t="str">
        <f ca="1"/>
        <v/>
      </c>
      <c r="DE11" t="str">
        <f ca="1"/>
        <v/>
      </c>
    </row>
    <row r="12" spans="1:109" ht="20.25" customHeight="1">
      <c r="J12" s="112" t="s">
        <v>753</v>
      </c>
      <c r="K12" s="107" t="s">
        <v>4</v>
      </c>
      <c r="L12" s="111">
        <f>IF(入力1!R15=1,入力2!I9,IF(入力1!R15=2,入力2!I9/1000,"NA"))*入力3!E11</f>
        <v>110</v>
      </c>
      <c r="M12" s="95" t="s">
        <v>532</v>
      </c>
      <c r="N12" s="3"/>
      <c r="Q12" s="114" t="s">
        <v>2</v>
      </c>
      <c r="R12" s="114" t="s">
        <v>10</v>
      </c>
      <c r="S12" s="59"/>
      <c r="T12" s="59"/>
      <c r="U12" s="96"/>
      <c r="V12" s="96"/>
      <c r="W12" s="96"/>
      <c r="X12" s="59"/>
      <c r="Y12" s="59"/>
      <c r="Z12" s="59"/>
      <c r="AA12" s="59"/>
      <c r="AB12" s="59"/>
      <c r="AC12" s="59"/>
      <c r="AD12" s="59"/>
      <c r="AE12" s="59"/>
      <c r="AF12" s="59"/>
      <c r="AG12" s="59"/>
      <c r="AH12" s="59"/>
      <c r="AI12" s="59"/>
      <c r="AJ12" s="118"/>
      <c r="AK12" s="107" t="s">
        <v>419</v>
      </c>
      <c r="AL12" s="107" t="s">
        <v>5</v>
      </c>
      <c r="AM12" s="108" t="s">
        <v>1</v>
      </c>
      <c r="AN12" s="107" t="s">
        <v>438</v>
      </c>
      <c r="AO12" s="107" t="s">
        <v>0</v>
      </c>
      <c r="AP12" s="107" t="s">
        <v>463</v>
      </c>
      <c r="AQ12" s="107" t="s">
        <v>53</v>
      </c>
      <c r="AR12" s="109" t="s">
        <v>5</v>
      </c>
      <c r="AS12" s="109" t="s">
        <v>4</v>
      </c>
      <c r="AT12" s="109" t="s">
        <v>5</v>
      </c>
      <c r="AX12" s="1"/>
      <c r="AY12" s="1"/>
      <c r="AZ12" s="1"/>
      <c r="BA12" s="1"/>
      <c r="BB12" s="1"/>
      <c r="BC12" s="1"/>
      <c r="BD12" s="2"/>
      <c r="BE12" s="1"/>
      <c r="BF12" s="1"/>
      <c r="BG12" s="1"/>
      <c r="BH12" s="8"/>
      <c r="BL12" s="284"/>
      <c r="BM12" s="77" t="s">
        <v>360</v>
      </c>
      <c r="BN12" s="97" cm="1">
        <f t="array" aca="1" ref="BN12" ca="1">ROUND(INDEX(LINEST('3次式係数計算過程'!AT13:AT22,'3次式係数計算過程'!AL13:AL22^{1,2,3},TRUE),1,4),9)</f>
        <v>-1.9028669999999999E-3</v>
      </c>
      <c r="CR12">
        <v>0</v>
      </c>
      <c r="CS12" t="b">
        <f ca="1"/>
        <v>1</v>
      </c>
      <c r="CT12" t="b">
        <f ca="1"/>
        <v>1</v>
      </c>
      <c r="CU12" t="b">
        <f ca="1"/>
        <v>1</v>
      </c>
      <c r="CV12">
        <f ca="1"/>
        <v>4</v>
      </c>
      <c r="CW12">
        <f ca="1"/>
        <v>-1.9028669999999999E-3</v>
      </c>
      <c r="CX12">
        <f ca="1"/>
        <v>0</v>
      </c>
    </row>
    <row r="13" spans="1:109" ht="20.25" customHeight="1">
      <c r="N13" s="25"/>
      <c r="Q13" s="115" t="s">
        <v>422</v>
      </c>
      <c r="R13" s="115" t="s">
        <v>423</v>
      </c>
      <c r="S13" s="59"/>
      <c r="T13" s="59"/>
      <c r="U13" s="96"/>
      <c r="V13" s="96"/>
      <c r="W13" s="96"/>
      <c r="X13" s="59"/>
      <c r="Y13" s="59"/>
      <c r="Z13" s="59"/>
      <c r="AA13" s="59"/>
      <c r="AB13" s="59"/>
      <c r="AC13" s="59"/>
      <c r="AD13" s="59"/>
      <c r="AE13" s="59"/>
      <c r="AF13" s="59"/>
      <c r="AG13" s="59"/>
      <c r="AH13" s="59"/>
      <c r="AI13" s="59"/>
      <c r="AJ13" s="77">
        <v>1</v>
      </c>
      <c r="AK13" s="101">
        <f>'3次式係数計算過程'!$L$10/$AJ$22*AJ13</f>
        <v>4590</v>
      </c>
      <c r="AL13" s="102">
        <f>AK13/'3次式係数計算過程'!$L$10</f>
        <v>0.1</v>
      </c>
      <c r="AM13" s="103">
        <f>IF(ROUNDUP(AK13/'3次式係数計算過程'!$L$11,0)&gt;入力3!$E$11,入力3!$E$11,ROUNDUP(AK13/'3次式係数計算過程'!$L$11,0))</f>
        <v>1</v>
      </c>
      <c r="AN13" s="104">
        <f>AK13/AM13</f>
        <v>4590</v>
      </c>
      <c r="AO13" s="101">
        <f>'3次式係数計算過程'!$R$19*AK13+'3次式係数計算過程'!$R$20</f>
        <v>66.951999999999984</v>
      </c>
      <c r="AP13" s="101">
        <f ca="1">IF(AND(A!$E$7:$E$9),E!D8,"Error:不適切なサンプルデータ")</f>
        <v>1.9721300841581935</v>
      </c>
      <c r="AQ13" s="101" cm="1">
        <f t="array" aca="1" ref="AQ13" ca="1">IF(AND(A!$E$7:$E$9),INDIRECT("D_"&amp;AJ13&amp;"!D6",TRUE),"Error:不適切なサンプルデータ")</f>
        <v>13.807193040847778</v>
      </c>
      <c r="AR13" s="159">
        <f ca="1">(AQ13*入力2!$I$11)/入力2!$I$10</f>
        <v>0.46023976802825928</v>
      </c>
      <c r="AS13" s="105">
        <f t="shared" ref="AS13:AS22" ca="1" si="0">AP13*AM13</f>
        <v>1.9721300841581935</v>
      </c>
      <c r="AT13" s="106">
        <f ca="1">AS13/'3次式係数計算過程'!$L$12</f>
        <v>1.7928455310529032E-2</v>
      </c>
      <c r="AU13" s="209"/>
      <c r="AX13" s="1"/>
      <c r="AY13" s="1"/>
      <c r="AZ13" s="1"/>
      <c r="BA13" s="1"/>
      <c r="BB13" s="1"/>
      <c r="BC13" s="1"/>
      <c r="BD13" s="2"/>
      <c r="BE13" s="2"/>
      <c r="BF13" s="2"/>
      <c r="BG13" s="1"/>
      <c r="BH13" s="8"/>
    </row>
    <row r="14" spans="1:109" ht="20.25" customHeight="1">
      <c r="N14" s="1"/>
      <c r="Q14" s="107" t="s">
        <v>419</v>
      </c>
      <c r="R14" s="107" t="s">
        <v>0</v>
      </c>
      <c r="S14" s="59"/>
      <c r="T14" s="59"/>
      <c r="U14" s="96"/>
      <c r="V14" s="96"/>
      <c r="W14" s="96"/>
      <c r="X14" s="59"/>
      <c r="Y14" s="59"/>
      <c r="Z14" s="59"/>
      <c r="AA14" s="59"/>
      <c r="AB14" s="59"/>
      <c r="AC14" s="59"/>
      <c r="AD14" s="59"/>
      <c r="AE14" s="59"/>
      <c r="AF14" s="59"/>
      <c r="AG14" s="59"/>
      <c r="AH14" s="59"/>
      <c r="AI14" s="59"/>
      <c r="AJ14" s="77">
        <v>2</v>
      </c>
      <c r="AK14" s="101">
        <f>'3次式係数計算過程'!$L$10/$AJ$22*AJ14</f>
        <v>9180</v>
      </c>
      <c r="AL14" s="102">
        <f>AK14/'3次式係数計算過程'!$L$10</f>
        <v>0.2</v>
      </c>
      <c r="AM14" s="103">
        <f>IF(ROUNDUP(AK14/'3次式係数計算過程'!$L$11,0)&gt;入力3!$E$11,入力3!$E$11,ROUNDUP(AK14/'3次式係数計算過程'!$L$11,0))</f>
        <v>1</v>
      </c>
      <c r="AN14" s="104">
        <f t="shared" ref="AN14:AN22" si="1">AK14/AM14</f>
        <v>9180</v>
      </c>
      <c r="AO14" s="101">
        <f>'3次式係数計算過程'!$R$19*AK14+'3次式係数計算過程'!$R$20</f>
        <v>83.903999999999982</v>
      </c>
      <c r="AP14" s="101">
        <f ca="1">IF(AND(A!$E$7:$E$9),E!D9,"Error:不適切なサンプルデータ")</f>
        <v>5.604936289448581</v>
      </c>
      <c r="AQ14" s="101" cm="1">
        <f t="array" aca="1" ref="AQ14" ca="1">IF(AND(A!$E$7:$E$9),INDIRECT("D_"&amp;AJ14&amp;"!D6",TRUE),"Error:不適切なサンプルデータ")</f>
        <v>18.98049920797348</v>
      </c>
      <c r="AR14" s="159">
        <f ca="1">(AQ14*入力2!$I$11)/入力2!$I$10</f>
        <v>0.63268330693244934</v>
      </c>
      <c r="AS14" s="105">
        <f t="shared" ca="1" si="0"/>
        <v>5.604936289448581</v>
      </c>
      <c r="AT14" s="106">
        <f ca="1">AS14/'3次式係数計算過程'!$L$12</f>
        <v>5.0953966267714375E-2</v>
      </c>
      <c r="AU14" s="209"/>
      <c r="AX14" s="1"/>
      <c r="AY14" s="1"/>
      <c r="AZ14" s="1"/>
      <c r="BA14" s="1"/>
      <c r="BB14" s="1"/>
      <c r="BC14" s="1"/>
      <c r="BD14" s="2"/>
      <c r="BE14" s="2"/>
      <c r="BF14" s="2"/>
      <c r="BG14" s="1"/>
      <c r="BH14" s="8"/>
    </row>
    <row r="15" spans="1:109" ht="20.25" customHeight="1">
      <c r="N15" s="1"/>
      <c r="Q15" s="97">
        <v>0</v>
      </c>
      <c r="R15" s="98">
        <f>入力3!E9</f>
        <v>50</v>
      </c>
      <c r="S15" s="59"/>
      <c r="T15" s="59"/>
      <c r="U15" s="96"/>
      <c r="V15" s="96"/>
      <c r="W15" s="96"/>
      <c r="X15" s="59"/>
      <c r="Y15" s="59"/>
      <c r="Z15" s="59"/>
      <c r="AA15" s="59"/>
      <c r="AB15" s="59"/>
      <c r="AC15" s="59"/>
      <c r="AD15" s="59"/>
      <c r="AE15" s="59"/>
      <c r="AF15" s="59"/>
      <c r="AG15" s="59"/>
      <c r="AH15" s="59"/>
      <c r="AI15" s="59"/>
      <c r="AJ15" s="77">
        <v>3</v>
      </c>
      <c r="AK15" s="101">
        <f>'3次式係数計算過程'!$L$10/$AJ$22*AJ15</f>
        <v>13770</v>
      </c>
      <c r="AL15" s="102">
        <f>AK15/'3次式係数計算過程'!$L$10</f>
        <v>0.3</v>
      </c>
      <c r="AM15" s="103">
        <f>IF(ROUNDUP(AK15/'3次式係数計算過程'!$L$11,0)&gt;入力3!$E$11,入力3!$E$11,ROUNDUP(AK15/'3次式係数計算過程'!$L$11,0))</f>
        <v>2</v>
      </c>
      <c r="AN15" s="104">
        <f t="shared" si="1"/>
        <v>6885</v>
      </c>
      <c r="AO15" s="101">
        <f>'3次式係数計算過程'!$R$19*AK15+'3次式係数計算過程'!$R$20</f>
        <v>100.85599999999999</v>
      </c>
      <c r="AP15" s="101">
        <f ca="1">IF(AND(A!$E$7:$E$9),E!D10,"Error:不適切なサンプルデータ")</f>
        <v>4.4845507817035903</v>
      </c>
      <c r="AQ15" s="101" cm="1">
        <f t="array" aca="1" ref="AQ15" ca="1">IF(AND(A!$E$7:$E$9),INDIRECT("D_"&amp;AJ15&amp;"!D6",TRUE),"Error:不適切なサンプルデータ")</f>
        <v>17.881303310394287</v>
      </c>
      <c r="AR15" s="159">
        <f ca="1">(AQ15*入力2!$I$11)/入力2!$I$10</f>
        <v>0.59604344367980955</v>
      </c>
      <c r="AS15" s="105">
        <f t="shared" ca="1" si="0"/>
        <v>8.9691015634071807</v>
      </c>
      <c r="AT15" s="106">
        <f ca="1">AS15/'3次式係数計算過程'!$L$12</f>
        <v>8.1537286940065276E-2</v>
      </c>
      <c r="AU15" s="209"/>
      <c r="AX15" s="1"/>
      <c r="AY15" s="1"/>
      <c r="AZ15" s="1"/>
      <c r="BA15" s="1"/>
      <c r="BB15" s="1"/>
      <c r="BC15" s="1"/>
      <c r="BD15" s="2"/>
      <c r="BE15" s="1"/>
      <c r="BF15" s="1"/>
      <c r="BG15" s="1"/>
      <c r="BH15" s="8"/>
    </row>
    <row r="16" spans="1:109" ht="20.25" customHeight="1">
      <c r="N16" s="3"/>
      <c r="Q16" s="97">
        <f>'3次式係数計算過程'!L10</f>
        <v>45900</v>
      </c>
      <c r="R16" s="99">
        <f>入力3!E8</f>
        <v>219.52</v>
      </c>
      <c r="S16" s="59"/>
      <c r="T16" s="59"/>
      <c r="U16" s="96"/>
      <c r="V16" s="96"/>
      <c r="W16" s="96"/>
      <c r="X16" s="59"/>
      <c r="Y16" s="59"/>
      <c r="Z16" s="59"/>
      <c r="AA16" s="59"/>
      <c r="AB16" s="59"/>
      <c r="AC16" s="59"/>
      <c r="AD16" s="59"/>
      <c r="AE16" s="59"/>
      <c r="AF16" s="59"/>
      <c r="AG16" s="59"/>
      <c r="AH16" s="59"/>
      <c r="AI16" s="59"/>
      <c r="AJ16" s="77">
        <v>4</v>
      </c>
      <c r="AK16" s="101">
        <f>'3次式係数計算過程'!$L$10/$AJ$22*AJ16</f>
        <v>18360</v>
      </c>
      <c r="AL16" s="102">
        <f>AK16/'3次式係数計算過程'!$L$10</f>
        <v>0.4</v>
      </c>
      <c r="AM16" s="103">
        <f>IF(ROUNDUP(AK16/'3次式係数計算過程'!$L$11,0)&gt;入力3!$E$11,入力3!$E$11,ROUNDUP(AK16/'3次式係数計算過程'!$L$11,0))</f>
        <v>2</v>
      </c>
      <c r="AN16" s="104">
        <f t="shared" si="1"/>
        <v>9180</v>
      </c>
      <c r="AO16" s="101">
        <f>'3次式係数計算過程'!$R$19*AK16+'3次式係数計算過程'!$R$20</f>
        <v>117.80799999999998</v>
      </c>
      <c r="AP16" s="101">
        <f ca="1">IF(AND(A!$E$7:$E$9),E!D11,"Error:不適切なサンプルデータ")</f>
        <v>7.2813327239874477</v>
      </c>
      <c r="AQ16" s="101" cm="1">
        <f t="array" aca="1" ref="AQ16" ca="1">IF(AND(A!$E$7:$E$9),INDIRECT("D_"&amp;AJ16&amp;"!D6",TRUE),"Error:不適切なサンプルデータ")</f>
        <v>20.813765108585358</v>
      </c>
      <c r="AR16" s="159">
        <f ca="1">(AQ16*入力2!$I$11)/入力2!$I$10</f>
        <v>0.69379217028617857</v>
      </c>
      <c r="AS16" s="105">
        <f t="shared" ca="1" si="0"/>
        <v>14.562665447974895</v>
      </c>
      <c r="AT16" s="106">
        <f ca="1">AS16/'3次式係数計算過程'!$L$12</f>
        <v>0.13238786770886268</v>
      </c>
      <c r="AU16" s="209"/>
      <c r="AX16" s="1"/>
      <c r="AY16" s="1"/>
      <c r="AZ16" s="1"/>
      <c r="BA16" s="1"/>
      <c r="BB16" s="1"/>
      <c r="BC16" s="1"/>
      <c r="BD16" s="1"/>
      <c r="BE16" s="1"/>
      <c r="BF16" s="1"/>
      <c r="BG16" s="1"/>
      <c r="BH16" s="8"/>
    </row>
    <row r="17" spans="14:109" ht="20.25" customHeight="1">
      <c r="N17" s="1"/>
      <c r="P17" s="59" t="s">
        <v>14</v>
      </c>
      <c r="R17" s="59"/>
      <c r="S17" s="59"/>
      <c r="T17" s="59"/>
      <c r="U17" s="96"/>
      <c r="V17" s="96"/>
      <c r="W17" s="96"/>
      <c r="X17" s="59"/>
      <c r="Y17" s="59"/>
      <c r="Z17" s="59"/>
      <c r="AA17" s="59"/>
      <c r="AB17" s="59"/>
      <c r="AC17" s="59"/>
      <c r="AD17" s="59"/>
      <c r="AE17" s="59"/>
      <c r="AF17" s="59"/>
      <c r="AG17" s="59"/>
      <c r="AH17" s="59"/>
      <c r="AI17" s="59"/>
      <c r="AJ17" s="77">
        <v>5</v>
      </c>
      <c r="AK17" s="101">
        <f>'3次式係数計算過程'!$L$10/$AJ$22*AJ17</f>
        <v>22950</v>
      </c>
      <c r="AL17" s="102">
        <f>AK17/'3次式係数計算過程'!$L$10</f>
        <v>0.5</v>
      </c>
      <c r="AM17" s="103">
        <f>IF(ROUNDUP(AK17/'3次式係数計算過程'!$L$11,0)&gt;入力3!$E$11,入力3!$E$11,ROUNDUP(AK17/'3次式係数計算過程'!$L$11,0))</f>
        <v>3</v>
      </c>
      <c r="AN17" s="104">
        <f t="shared" si="1"/>
        <v>7650</v>
      </c>
      <c r="AO17" s="101">
        <f>'3次式係数計算過程'!$R$19*AK17+'3次式係数計算過程'!$R$20</f>
        <v>134.76</v>
      </c>
      <c r="AP17" s="101">
        <f ca="1">IF(AND(A!$E$7:$E$9),E!D12,"Error:不適切なサンプルデータ")</f>
        <v>6.6369196301644688</v>
      </c>
      <c r="AQ17" s="101" cm="1">
        <f t="array" aca="1" ref="AQ17" ca="1">IF(AND(A!$E$7:$E$9),INDIRECT("D_"&amp;AJ17&amp;"!D6",TRUE),"Error:不適切なサンプルデータ")</f>
        <v>20.428306460380554</v>
      </c>
      <c r="AR17" s="159">
        <f ca="1">(AQ17*入力2!$I$11)/入力2!$I$10</f>
        <v>0.68094354867935181</v>
      </c>
      <c r="AS17" s="105">
        <f t="shared" ca="1" si="0"/>
        <v>19.910758890493405</v>
      </c>
      <c r="AT17" s="106">
        <f ca="1">AS17/'3次式係数計算過程'!$L$12</f>
        <v>0.18100689900448549</v>
      </c>
      <c r="AU17" s="209"/>
      <c r="AX17" s="1"/>
      <c r="AY17" s="1"/>
      <c r="AZ17" s="1"/>
      <c r="BA17" s="1"/>
      <c r="BB17" s="1"/>
      <c r="BC17" s="1"/>
      <c r="BD17" s="1"/>
      <c r="BH17" s="8"/>
    </row>
    <row r="18" spans="14:109" ht="20.25" customHeight="1">
      <c r="N18" s="1"/>
      <c r="Q18" s="401" t="s">
        <v>9</v>
      </c>
      <c r="R18" s="402"/>
      <c r="S18" s="59"/>
      <c r="T18" s="59"/>
      <c r="U18" s="96"/>
      <c r="V18" s="96"/>
      <c r="W18" s="96"/>
      <c r="X18" s="59"/>
      <c r="Y18" s="59"/>
      <c r="Z18" s="59"/>
      <c r="AA18" s="59"/>
      <c r="AB18" s="59"/>
      <c r="AC18" s="59"/>
      <c r="AD18" s="59"/>
      <c r="AE18" s="59"/>
      <c r="AF18" s="59"/>
      <c r="AG18" s="59"/>
      <c r="AH18" s="59"/>
      <c r="AI18" s="59"/>
      <c r="AJ18" s="77">
        <v>6</v>
      </c>
      <c r="AK18" s="101">
        <f>'3次式係数計算過程'!$L$10/$AJ$22*AJ18</f>
        <v>27540</v>
      </c>
      <c r="AL18" s="102">
        <f>AK18/'3次式係数計算過程'!$L$10</f>
        <v>0.6</v>
      </c>
      <c r="AM18" s="103">
        <f>IF(ROUNDUP(AK18/'3次式係数計算過程'!$L$11,0)&gt;入力3!$E$11,入力3!$E$11,ROUNDUP(AK18/'3次式係数計算過程'!$L$11,0))</f>
        <v>3</v>
      </c>
      <c r="AN18" s="104">
        <f t="shared" si="1"/>
        <v>9180</v>
      </c>
      <c r="AO18" s="101">
        <f>'3次式係数計算過程'!$R$19*AK18+'3次式係数計算過程'!$R$20</f>
        <v>151.71199999999999</v>
      </c>
      <c r="AP18" s="101">
        <f ca="1">IF(AND(A!$E$7:$E$9),E!D13,"Error:不適切なサンプルデータ")</f>
        <v>9.0930742893437237</v>
      </c>
      <c r="AQ18" s="101" cm="1">
        <f t="array" aca="1" ref="AQ18" ca="1">IF(AND(A!$E$7:$E$9),INDIRECT("D_"&amp;AJ18&amp;"!D6",TRUE),"Error:不適切なサンプルデータ")</f>
        <v>22.530391037464142</v>
      </c>
      <c r="AR18" s="159">
        <f ca="1">(AQ18*入力2!$I$11)/入力2!$I$10</f>
        <v>0.75101303458213808</v>
      </c>
      <c r="AS18" s="105">
        <f t="shared" ca="1" si="0"/>
        <v>27.279222868031169</v>
      </c>
      <c r="AT18" s="106">
        <f ca="1">AS18/'3次式係数計算過程'!$L$12</f>
        <v>0.24799293516391971</v>
      </c>
      <c r="AU18" s="209"/>
      <c r="AX18" s="1"/>
      <c r="AY18" s="1"/>
      <c r="AZ18" s="1"/>
      <c r="BA18" s="1"/>
      <c r="BB18" s="1"/>
      <c r="BC18" s="1"/>
      <c r="BD18" s="1"/>
      <c r="BH18" s="8"/>
    </row>
    <row r="19" spans="14:109" ht="20.25" customHeight="1">
      <c r="N19" s="1"/>
      <c r="O19" s="59"/>
      <c r="Q19" s="107" t="s">
        <v>19</v>
      </c>
      <c r="R19" s="100">
        <f>SLOPE(R15:R16,Q15:Q16)</f>
        <v>3.6932461873638344E-3</v>
      </c>
      <c r="S19" s="59"/>
      <c r="T19" s="59"/>
      <c r="U19" s="96"/>
      <c r="V19" s="96"/>
      <c r="W19" s="96"/>
      <c r="X19" s="59"/>
      <c r="Y19" s="59"/>
      <c r="Z19" s="59"/>
      <c r="AA19" s="59"/>
      <c r="AB19" s="59"/>
      <c r="AC19" s="59"/>
      <c r="AD19" s="59"/>
      <c r="AE19" s="59"/>
      <c r="AF19" s="59"/>
      <c r="AG19" s="59"/>
      <c r="AH19" s="59"/>
      <c r="AI19" s="59"/>
      <c r="AJ19" s="77">
        <v>7</v>
      </c>
      <c r="AK19" s="101">
        <f>'3次式係数計算過程'!$L$10/$AJ$22*AJ19</f>
        <v>32130</v>
      </c>
      <c r="AL19" s="102">
        <f>AK19/'3次式係数計算過程'!$L$10</f>
        <v>0.7</v>
      </c>
      <c r="AM19" s="103">
        <f>IF(ROUNDUP(AK19/'3次式係数計算過程'!$L$11,0)&gt;入力3!$E$11,入力3!$E$11,ROUNDUP(AK19/'3次式係数計算過程'!$L$11,0))</f>
        <v>4</v>
      </c>
      <c r="AN19" s="104">
        <f t="shared" si="1"/>
        <v>8032.5</v>
      </c>
      <c r="AO19" s="101">
        <f>'3次式係数計算過程'!$R$19*AK19+'3次式係数計算過程'!$R$20</f>
        <v>168.66399999999999</v>
      </c>
      <c r="AP19" s="101">
        <f ca="1">IF(AND(A!$E$7:$E$9),E!D14,"Error:不適切なサンプルデータ")</f>
        <v>8.6969086609712605</v>
      </c>
      <c r="AQ19" s="101" cm="1">
        <f t="array" aca="1" ref="AQ19" ca="1">IF(AND(A!$E$7:$E$9),INDIRECT("D_"&amp;AJ19&amp;"!D6",TRUE),"Error:不適切なサンプルデータ")</f>
        <v>22.45580792427063</v>
      </c>
      <c r="AR19" s="159">
        <f ca="1">(AQ19*入力2!$I$11)/入力2!$I$10</f>
        <v>0.748526930809021</v>
      </c>
      <c r="AS19" s="105">
        <f t="shared" ca="1" si="0"/>
        <v>34.787634643885042</v>
      </c>
      <c r="AT19" s="106">
        <f ca="1">AS19/'3次式係数計算過程'!$L$12</f>
        <v>0.31625122403531858</v>
      </c>
      <c r="AU19" s="209"/>
      <c r="AX19" s="1"/>
      <c r="AY19" s="1"/>
      <c r="AZ19" s="1"/>
      <c r="BA19" s="1"/>
      <c r="BB19" s="1"/>
      <c r="BC19" s="1"/>
      <c r="BD19" s="1"/>
      <c r="BH19" s="8"/>
    </row>
    <row r="20" spans="14:109" ht="20.25" customHeight="1">
      <c r="N20" s="1"/>
      <c r="O20" s="59"/>
      <c r="Q20" s="107" t="s">
        <v>6</v>
      </c>
      <c r="R20" s="77">
        <f>INTERCEPT(R15:R16,Q15:Q16)</f>
        <v>49.999999999999986</v>
      </c>
      <c r="S20" s="59"/>
      <c r="T20" s="59"/>
      <c r="U20" s="59"/>
      <c r="V20" s="59"/>
      <c r="W20" s="59"/>
      <c r="X20" s="59"/>
      <c r="Y20" s="59"/>
      <c r="Z20" s="59"/>
      <c r="AA20" s="59"/>
      <c r="AB20" s="59"/>
      <c r="AC20" s="59"/>
      <c r="AD20" s="59"/>
      <c r="AE20" s="59"/>
      <c r="AF20" s="59"/>
      <c r="AG20" s="59"/>
      <c r="AH20" s="59"/>
      <c r="AI20" s="59"/>
      <c r="AJ20" s="77">
        <v>8</v>
      </c>
      <c r="AK20" s="101">
        <f>'3次式係数計算過程'!$L$10/$AJ$22*AJ20</f>
        <v>36720</v>
      </c>
      <c r="AL20" s="102">
        <f>AK20/'3次式係数計算過程'!$L$10</f>
        <v>0.8</v>
      </c>
      <c r="AM20" s="103">
        <f>IF(ROUNDUP(AK20/'3次式係数計算過程'!$L$11,0)&gt;入力3!$E$11,入力3!$E$11,ROUNDUP(AK20/'3次式係数計算過程'!$L$11,0))</f>
        <v>4</v>
      </c>
      <c r="AN20" s="104">
        <f t="shared" si="1"/>
        <v>9180</v>
      </c>
      <c r="AO20" s="101">
        <f>'3次式係数計算過程'!$R$19*AK20+'3次式係数計算過程'!$R$20</f>
        <v>185.61599999999999</v>
      </c>
      <c r="AP20" s="101">
        <f ca="1">IF(AND(A!$E$7:$E$9),E!D15,"Error:不適切なサンプルデータ")</f>
        <v>10.98779590101055</v>
      </c>
      <c r="AQ20" s="101" cm="1">
        <f t="array" aca="1" ref="AQ20" ca="1">IF(AND(A!$E$7:$E$9),INDIRECT("D_"&amp;AJ20&amp;"!D6",TRUE),"Error:不適切なサンプルデータ")</f>
        <v>24.13189297914505</v>
      </c>
      <c r="AR20" s="159">
        <f ca="1">(AQ20*入力2!$I$11)/入力2!$I$10</f>
        <v>0.80439643263816829</v>
      </c>
      <c r="AS20" s="105">
        <f t="shared" ca="1" si="0"/>
        <v>43.9511836040422</v>
      </c>
      <c r="AT20" s="106">
        <f ca="1">AS20/'3次式係数計算過程'!$L$12</f>
        <v>0.39955621458220181</v>
      </c>
      <c r="AU20" s="209"/>
      <c r="AX20" s="1"/>
      <c r="AY20" s="1"/>
      <c r="AZ20" s="1"/>
      <c r="BA20" s="1"/>
      <c r="BB20" s="1"/>
      <c r="BC20" s="1"/>
      <c r="BD20" s="1"/>
      <c r="BH20" s="8"/>
    </row>
    <row r="21" spans="14:109" ht="20.25" customHeight="1">
      <c r="O21" s="59"/>
      <c r="P21" s="59"/>
      <c r="R21" s="59"/>
      <c r="S21" s="59"/>
      <c r="T21" s="59"/>
      <c r="U21" s="59"/>
      <c r="V21" s="59"/>
      <c r="W21" s="59"/>
      <c r="X21" s="59"/>
      <c r="Y21" s="59"/>
      <c r="Z21" s="59"/>
      <c r="AA21" s="59"/>
      <c r="AB21" s="59"/>
      <c r="AC21" s="59"/>
      <c r="AD21" s="59"/>
      <c r="AE21" s="59"/>
      <c r="AF21" s="59"/>
      <c r="AG21" s="59"/>
      <c r="AH21" s="59"/>
      <c r="AI21" s="59"/>
      <c r="AJ21" s="77">
        <v>9</v>
      </c>
      <c r="AK21" s="101">
        <f>'3次式係数計算過程'!$L$10/$AJ$22*AJ21</f>
        <v>41310</v>
      </c>
      <c r="AL21" s="102">
        <f>AK21/'3次式係数計算過程'!$L$10</f>
        <v>0.9</v>
      </c>
      <c r="AM21" s="103">
        <f>IF(ROUNDUP(AK21/'3次式係数計算過程'!$L$11,0)&gt;入力3!$E$11,入力3!$E$11,ROUNDUP(AK21/'3次式係数計算過程'!$L$11,0))</f>
        <v>5</v>
      </c>
      <c r="AN21" s="104">
        <f t="shared" si="1"/>
        <v>8262</v>
      </c>
      <c r="AO21" s="101">
        <f>'3次式係数計算過程'!$R$19*AK21+'3次式係数計算過程'!$R$20</f>
        <v>202.56799999999998</v>
      </c>
      <c r="AP21" s="101">
        <f ca="1">IF(AND(A!$E$7:$E$9),E!D16,"Error:不適切なサンプルデータ")</f>
        <v>10.736177084215379</v>
      </c>
      <c r="AQ21" s="101" cm="1">
        <f t="array" aca="1" ref="AQ21" ca="1">IF(AND(A!$E$7:$E$9),INDIRECT("D_"&amp;AJ21&amp;"!D6",TRUE),"Error:不適切なサンプルデータ")</f>
        <v>24.214419901371002</v>
      </c>
      <c r="AR21" s="159">
        <f ca="1">(AQ21*入力2!$I$11)/入力2!$I$10</f>
        <v>0.80714733004570005</v>
      </c>
      <c r="AS21" s="105">
        <f t="shared" ca="1" si="0"/>
        <v>53.680885421076894</v>
      </c>
      <c r="AT21" s="106">
        <f ca="1">AS21/'3次式係数計算過程'!$L$12</f>
        <v>0.48800804928251723</v>
      </c>
      <c r="AU21" s="209"/>
      <c r="AX21" s="1"/>
      <c r="AY21" s="1"/>
      <c r="AZ21" s="1"/>
      <c r="BA21" s="1"/>
      <c r="BB21" s="1"/>
      <c r="BC21" s="1"/>
      <c r="BD21" s="1"/>
      <c r="BH21" s="8"/>
    </row>
    <row r="22" spans="14:109" ht="20.25" customHeight="1">
      <c r="S22" s="59"/>
      <c r="AH22" s="59"/>
      <c r="AI22" s="59"/>
      <c r="AJ22" s="77">
        <v>10</v>
      </c>
      <c r="AK22" s="101">
        <f>'3次式係数計算過程'!$L$10/$AJ$22*AJ22</f>
        <v>45900</v>
      </c>
      <c r="AL22" s="102">
        <f>AK22/'3次式係数計算過程'!$L$10</f>
        <v>1</v>
      </c>
      <c r="AM22" s="103">
        <f>IF(ROUNDUP(AK22/'3次式係数計算過程'!$L$11,0)&gt;入力3!$E$11,入力3!$E$11,ROUNDUP(AK22/'3次式係数計算過程'!$L$11,0))</f>
        <v>5</v>
      </c>
      <c r="AN22" s="104">
        <f t="shared" si="1"/>
        <v>9180</v>
      </c>
      <c r="AO22" s="101">
        <f>'3次式係数計算過程'!$R$19*AK22+'3次式係数計算過程'!$R$20</f>
        <v>219.51999999999998</v>
      </c>
      <c r="AP22" s="101">
        <f ca="1">IF(AND(A!$E$7:$E$9),E!D17,"Error:不適切なサンプルデータ")</f>
        <v>12.936877660170893</v>
      </c>
      <c r="AQ22" s="101" cm="1">
        <f t="array" aca="1" ref="AQ22" ca="1">IF(AND(A!$E$7:$E$9),INDIRECT("D_"&amp;AJ22&amp;"!D6",TRUE),"Error:不適切なサンプルデータ")</f>
        <v>25.630578517913818</v>
      </c>
      <c r="AR22" s="159">
        <f ca="1">(AQ22*入力2!$I$11)/入力2!$I$10</f>
        <v>0.85435261726379397</v>
      </c>
      <c r="AS22" s="105">
        <f t="shared" ca="1" si="0"/>
        <v>64.684388300854465</v>
      </c>
      <c r="AT22" s="106">
        <f ca="1">AS22/'3次式係数計算過程'!$L$12</f>
        <v>0.58803989364413145</v>
      </c>
      <c r="AU22" s="209"/>
      <c r="AX22" s="1"/>
      <c r="AY22" s="1"/>
      <c r="AZ22" s="1"/>
      <c r="BA22" s="1"/>
      <c r="BB22" s="1"/>
      <c r="BC22" s="1"/>
      <c r="BD22" s="1"/>
      <c r="BE22" s="1"/>
      <c r="BF22" s="1"/>
      <c r="BG22" s="1"/>
      <c r="BH22" s="8"/>
    </row>
    <row r="23" spans="14:109" ht="20.25" customHeight="1">
      <c r="S23" s="59"/>
      <c r="AI23" s="59"/>
      <c r="AJ23" s="96"/>
      <c r="AK23" s="220"/>
      <c r="AL23" s="221"/>
      <c r="AM23" s="222"/>
      <c r="AN23" s="223"/>
      <c r="AO23" s="220"/>
      <c r="AP23" s="220"/>
      <c r="AQ23" s="220"/>
      <c r="AR23" s="224"/>
      <c r="AS23" s="225"/>
      <c r="AT23" s="226"/>
      <c r="AX23" s="1"/>
      <c r="AY23" s="1"/>
      <c r="AZ23" s="1"/>
      <c r="BA23" s="1"/>
      <c r="BB23" s="1"/>
      <c r="BC23" s="1"/>
      <c r="BD23" s="1"/>
      <c r="BE23" s="1"/>
      <c r="BF23" s="1"/>
      <c r="BG23" s="1"/>
      <c r="BH23" s="8"/>
    </row>
    <row r="24" spans="14:109" ht="20.25" customHeight="1">
      <c r="S24" s="59"/>
      <c r="AI24" s="126" t="s">
        <v>650</v>
      </c>
      <c r="AM24" s="135"/>
      <c r="AR24" s="135"/>
      <c r="AS24" s="135"/>
      <c r="AX24" s="1"/>
      <c r="AY24" s="1"/>
      <c r="AZ24" s="1"/>
      <c r="BA24" s="1"/>
      <c r="BB24" s="1"/>
      <c r="BC24" s="1"/>
      <c r="BD24" s="1"/>
      <c r="BE24" s="1"/>
      <c r="BF24" s="1"/>
      <c r="BG24" s="1"/>
      <c r="BH24" s="8"/>
    </row>
    <row r="25" spans="14:109" ht="20.25" customHeight="1">
      <c r="AJ25" s="116"/>
      <c r="AK25" s="119"/>
      <c r="AL25" s="119"/>
      <c r="AM25" s="120" t="s">
        <v>437</v>
      </c>
      <c r="AN25" s="119" t="s">
        <v>445</v>
      </c>
      <c r="AO25" s="119" t="s">
        <v>441</v>
      </c>
      <c r="AP25" s="119" t="s">
        <v>445</v>
      </c>
      <c r="AQ25" s="231"/>
      <c r="AR25" s="231"/>
      <c r="AS25" s="234"/>
      <c r="AT25" s="235" t="s">
        <v>453</v>
      </c>
      <c r="AX25" s="1"/>
      <c r="AY25" s="1"/>
      <c r="AZ25" s="1"/>
      <c r="BA25" s="1"/>
      <c r="BB25" s="1"/>
      <c r="BC25" s="1"/>
      <c r="BD25" s="1"/>
      <c r="BE25" s="1"/>
      <c r="BF25" s="1"/>
      <c r="BG25" s="1"/>
      <c r="BH25" s="8"/>
      <c r="BL25" s="403" t="s">
        <v>9</v>
      </c>
      <c r="BM25" s="403"/>
      <c r="BN25" s="403"/>
      <c r="CR25" s="241" t="s">
        <v>655</v>
      </c>
      <c r="CS25" s="241" t="s">
        <v>656</v>
      </c>
      <c r="CT25" s="241" t="s">
        <v>657</v>
      </c>
      <c r="CU25" s="241" t="s">
        <v>658</v>
      </c>
      <c r="CV25" s="241" t="s">
        <v>659</v>
      </c>
      <c r="CW25" s="241" t="s">
        <v>9</v>
      </c>
      <c r="CX25" s="241" t="s">
        <v>655</v>
      </c>
      <c r="CZ25" t="s">
        <v>652</v>
      </c>
      <c r="DA25" t="s">
        <v>653</v>
      </c>
      <c r="DB25" t="str" cm="1">
        <f t="array" ref="DB25:DB28">_xlfn.LET(
    _xlpm._coefficients,_xlfn.ANCHORARRAY( CW26),
    _xlpm._orders,_xlfn.ANCHORARRAY( CX26),
    _xlpm._max_order, MAX(_xlpm._orders),
    _xlfn.MAP(
        _xlpm._coefficients,
        _xlpm._orders,
        _xlfn.LAMBDA(_xlpm._coefficient,_xlpm._order,
            IF(
                SIGN(_xlpm._coefficient) &gt; 0,
                IF(_xlpm._order = _xlpm._max_order, "", "+"),
                "-"
            )
        )
    )
)</f>
        <v>-</v>
      </c>
      <c r="DC25" s="240" cm="1">
        <f t="array" ref="DC25:DC28">ABS(_xlfn.ANCHORARRAY(CW26))</f>
        <v>2.6051561000000001E-2</v>
      </c>
      <c r="DD25" t="str" cm="1">
        <f t="array" ref="DD25:DD28">IF(_xlfn.ANCHORARRAY(CX26)&gt;0,"x","")</f>
        <v>x</v>
      </c>
      <c r="DE25" cm="1">
        <f t="array" ref="DE25:DE28">IF(_xlfn.ANCHORARRAY(CX26)&gt;1,_xlfn.ANCHORARRAY(CX26),"")</f>
        <v>3</v>
      </c>
    </row>
    <row r="26" spans="14:109" ht="20.25" customHeight="1">
      <c r="AJ26" s="117"/>
      <c r="AK26" s="122" t="s">
        <v>431</v>
      </c>
      <c r="AL26" s="123" t="s">
        <v>431</v>
      </c>
      <c r="AM26" s="122" t="s">
        <v>436</v>
      </c>
      <c r="AN26" s="122" t="s">
        <v>444</v>
      </c>
      <c r="AO26" s="122" t="s">
        <v>440</v>
      </c>
      <c r="AP26" s="122" t="s">
        <v>444</v>
      </c>
      <c r="AQ26" s="231"/>
      <c r="AR26" s="231"/>
      <c r="AS26" s="236" t="s">
        <v>453</v>
      </c>
      <c r="AT26" s="236" t="s">
        <v>640</v>
      </c>
      <c r="AU26" s="233"/>
      <c r="AX26" s="1"/>
      <c r="AY26" s="1"/>
      <c r="AZ26" s="1"/>
      <c r="BA26" s="1"/>
      <c r="BB26" s="1"/>
      <c r="BC26" s="1"/>
      <c r="BD26" s="1"/>
      <c r="BE26" s="1"/>
      <c r="BF26" s="1"/>
      <c r="BG26" s="1"/>
      <c r="BH26" s="8"/>
      <c r="BL26" s="284" t="s">
        <v>632</v>
      </c>
      <c r="BM26" s="77" t="s">
        <v>357</v>
      </c>
      <c r="BN26" s="113" cm="1">
        <f t="array" ref="BN26">ROUND(INDEX(LINEST('3次式係数計算過程'!AT30:AT40,'3次式係数計算過程'!AL30:AL40^{1,2,3},TRUE),1,1),9)</f>
        <v>-2.6051561000000001E-2</v>
      </c>
      <c r="CR26" cm="1">
        <f t="array" ref="CR26:CR29">_xlfn._xlws.SORT(_xlfn.VSTACK(_xlfn.SEQUENCE(3),0),1,-1)</f>
        <v>3</v>
      </c>
      <c r="CS26" t="b" cm="1">
        <f t="array" ref="CS26:CS29">BN26:BN29&lt;&gt;0</f>
        <v>1</v>
      </c>
      <c r="CT26" t="b" cm="1">
        <f t="array" ref="CT26:CT29">LEN(BN26:BN29)&gt;0</f>
        <v>1</v>
      </c>
      <c r="CU26" t="b" cm="1">
        <f t="array" ref="CU26:CU29">_xlfn.MAP(_xlfn.ANCHORARRAY(CS26),_xlfn.ANCHORARRAY(CT26),_xlfn.LAMBDA(_xlpm._not_0,_xlpm._not_blank,AND(_xlpm._not_0,_xlpm._not_blank)))</f>
        <v>1</v>
      </c>
      <c r="CV26" cm="1">
        <f t="array" ref="CV26:CV29">_xlfn.LET(_xlpm._temp,_xlfn._xlws.SORT(_xlfn.UNIQUE(_xlfn.SEQUENCE(ROWS(BM26:BM29))*_xlfn.ANCHORARRAY(CU26))),IF(ROWS(_xlpm._temp)=1,IF(_xlpm._temp=0,NA(),_xlpm._temp),_xlfn.UNIQUE(IF(_xlpm._temp=0,INDEX(_xlpm._temp,2),_xlpm._temp))))</f>
        <v>1</v>
      </c>
      <c r="CW26" cm="1">
        <f t="array" ref="CW26:CW29">_xlfn.CHOOSEROWS(BN26:BN29,_xlfn.ANCHORARRAY(CV26))</f>
        <v>-2.6051561000000001E-2</v>
      </c>
      <c r="CX26" cm="1">
        <f t="array" ref="CX26:CX29">_xlfn.CHOOSEROWS(_xlfn.ANCHORARRAY(CR26),_xlfn.ANCHORARRAY(CV26))</f>
        <v>3</v>
      </c>
      <c r="DB26" t="str">
        <v>+</v>
      </c>
      <c r="DC26" s="240">
        <v>0.45723922299999997</v>
      </c>
      <c r="DD26" t="str">
        <v>x</v>
      </c>
      <c r="DE26">
        <v>2</v>
      </c>
    </row>
    <row r="27" spans="14:109" ht="20.25" customHeight="1">
      <c r="AJ27" s="117" t="s">
        <v>429</v>
      </c>
      <c r="AK27" s="122" t="s">
        <v>2</v>
      </c>
      <c r="AL27" s="122" t="s">
        <v>432</v>
      </c>
      <c r="AM27" s="122" t="s">
        <v>435</v>
      </c>
      <c r="AN27" s="122" t="s">
        <v>443</v>
      </c>
      <c r="AO27" s="122" t="s">
        <v>439</v>
      </c>
      <c r="AP27" s="122" t="s">
        <v>651</v>
      </c>
      <c r="AQ27" s="231"/>
      <c r="AR27" s="231"/>
      <c r="AS27" s="236" t="s">
        <v>640</v>
      </c>
      <c r="AT27" s="236" t="s">
        <v>450</v>
      </c>
      <c r="BL27" s="284"/>
      <c r="BM27" s="77" t="s">
        <v>359</v>
      </c>
      <c r="BN27" s="113" cm="1">
        <f t="array" ref="BN27">ROUND(INDEX(LINEST('3次式係数計算過程'!AT30:AT40,'3次式係数計算過程'!AL30:AL40^{1,2,3},TRUE),1,2),9)</f>
        <v>0.45723922299999997</v>
      </c>
      <c r="CR27">
        <v>2</v>
      </c>
      <c r="CS27" t="b">
        <v>1</v>
      </c>
      <c r="CT27" t="b">
        <v>1</v>
      </c>
      <c r="CU27" t="b">
        <v>1</v>
      </c>
      <c r="CV27">
        <v>2</v>
      </c>
      <c r="CW27">
        <v>0.45723922299999997</v>
      </c>
      <c r="CX27">
        <v>2</v>
      </c>
      <c r="DB27" t="str">
        <v>+</v>
      </c>
      <c r="DC27" s="240">
        <v>8.7688149999999992E-3</v>
      </c>
      <c r="DD27" t="str">
        <v>x</v>
      </c>
      <c r="DE27" t="str">
        <v/>
      </c>
    </row>
    <row r="28" spans="14:109" ht="20.25" customHeight="1">
      <c r="AJ28" s="117"/>
      <c r="AK28" s="268" t="s">
        <v>757</v>
      </c>
      <c r="AL28" s="268" t="s">
        <v>756</v>
      </c>
      <c r="AM28" s="269" t="s">
        <v>758</v>
      </c>
      <c r="AN28" s="268" t="s">
        <v>759</v>
      </c>
      <c r="AO28" s="268" t="s">
        <v>760</v>
      </c>
      <c r="AP28" s="268" t="s">
        <v>761</v>
      </c>
      <c r="AQ28" s="231"/>
      <c r="AR28" s="231"/>
      <c r="AS28" s="268" t="s">
        <v>762</v>
      </c>
      <c r="AT28" s="270" t="s">
        <v>763</v>
      </c>
      <c r="BL28" s="284"/>
      <c r="BM28" s="77" t="s">
        <v>358</v>
      </c>
      <c r="BN28" s="113" cm="1">
        <f t="array" ref="BN28">ROUND(INDEX(LINEST('3次式係数計算過程'!AT30:AT40,'3次式係数計算過程'!AL30:AL40^{1,2,3},TRUE),1,3),9)</f>
        <v>8.7688149999999992E-3</v>
      </c>
      <c r="CR28">
        <v>1</v>
      </c>
      <c r="CS28" t="b">
        <v>1</v>
      </c>
      <c r="CT28" t="b">
        <v>1</v>
      </c>
      <c r="CU28" t="b">
        <v>1</v>
      </c>
      <c r="CV28">
        <v>3</v>
      </c>
      <c r="CW28">
        <v>8.7688149999999992E-3</v>
      </c>
      <c r="CX28">
        <v>1</v>
      </c>
      <c r="DB28" t="str">
        <v>+</v>
      </c>
      <c r="DC28" s="240">
        <v>4.5688499999999997E-4</v>
      </c>
      <c r="DD28" t="str">
        <v/>
      </c>
      <c r="DE28" t="str">
        <v/>
      </c>
    </row>
    <row r="29" spans="14:109" ht="20.25" customHeight="1">
      <c r="AJ29" s="118"/>
      <c r="AK29" s="107" t="s">
        <v>419</v>
      </c>
      <c r="AL29" s="107" t="s">
        <v>5</v>
      </c>
      <c r="AM29" s="108" t="s">
        <v>1</v>
      </c>
      <c r="AN29" s="107" t="s">
        <v>438</v>
      </c>
      <c r="AO29" s="107" t="s">
        <v>0</v>
      </c>
      <c r="AP29" s="107" t="s">
        <v>463</v>
      </c>
      <c r="AQ29" s="231"/>
      <c r="AR29" s="231"/>
      <c r="AS29" s="107" t="s">
        <v>4</v>
      </c>
      <c r="AT29" s="109" t="s">
        <v>5</v>
      </c>
      <c r="BL29" s="284"/>
      <c r="BM29" s="77" t="s">
        <v>360</v>
      </c>
      <c r="BN29" s="97" cm="1">
        <f t="array" ref="BN29">ROUND(INDEX(LINEST('3次式係数計算過程'!AT30:AT40,'3次式係数計算過程'!AL30:AL40^{1,2,3},TRUE),1,4),9)</f>
        <v>4.5688499999999997E-4</v>
      </c>
      <c r="CR29">
        <v>0</v>
      </c>
      <c r="CS29" t="b">
        <v>1</v>
      </c>
      <c r="CT29" t="b">
        <v>1</v>
      </c>
      <c r="CU29" t="b">
        <v>1</v>
      </c>
      <c r="CV29">
        <v>4</v>
      </c>
      <c r="CW29">
        <v>4.5688499999999997E-4</v>
      </c>
      <c r="CX29">
        <v>0</v>
      </c>
    </row>
    <row r="30" spans="14:109" ht="20.25" customHeight="1">
      <c r="S30" s="59"/>
      <c r="AJ30" s="77">
        <v>1</v>
      </c>
      <c r="AK30" s="101" cm="1">
        <f t="array" ref="AK30:AK40">入力5!F11:F21</f>
        <v>4172.7272727272702</v>
      </c>
      <c r="AL30" s="102" cm="1">
        <f t="array" ref="AL30:AL40">入力5!G11:G21</f>
        <v>9.0909090909090898E-2</v>
      </c>
      <c r="AM30" s="103" cm="1">
        <f t="array" ref="AM30:AM40">入力5!K11:K21</f>
        <v>1</v>
      </c>
      <c r="AN30" s="104" cm="1">
        <f t="array" ref="AN30:AN40">入力5!F11:F21/入力5!K11:K21</f>
        <v>4172.7272727272702</v>
      </c>
      <c r="AO30" s="101" cm="1">
        <f t="array" ref="AO30:AO40">入力5!I11:I21</f>
        <v>14.967272727272725</v>
      </c>
      <c r="AP30" s="101" cm="1">
        <f t="array" ref="AP30:AP40">入力5!M11:M21/入力5!K11:K21</f>
        <v>0.73954878155932247</v>
      </c>
      <c r="AQ30" s="231"/>
      <c r="AR30" s="231"/>
      <c r="AS30" s="232" cm="1">
        <f t="array" ref="AS30:AS40">入力5!M11:M21</f>
        <v>0.73954878155932247</v>
      </c>
      <c r="AT30" s="106" cm="1">
        <f t="array" ref="AT30:AT40">_xlfn.ANCHORARRAY(AS30)/'3次式係数計算過程'!$L$12</f>
        <v>6.7231707414483859E-3</v>
      </c>
    </row>
    <row r="31" spans="14:109" ht="20.25" customHeight="1">
      <c r="AJ31" s="77">
        <v>2</v>
      </c>
      <c r="AK31" s="101">
        <v>8345.4545454545496</v>
      </c>
      <c r="AL31" s="102">
        <v>0.18181818181818199</v>
      </c>
      <c r="AM31" s="103">
        <v>1</v>
      </c>
      <c r="AN31" s="104">
        <v>8345.4545454545496</v>
      </c>
      <c r="AO31" s="101">
        <v>29.93454545454545</v>
      </c>
      <c r="AP31" s="101">
        <v>1.4790975631186449</v>
      </c>
      <c r="AQ31" s="231"/>
      <c r="AR31" s="231"/>
      <c r="AS31" s="232">
        <v>1.4790975631186449</v>
      </c>
      <c r="AT31" s="106">
        <v>1.3446341482896772E-2</v>
      </c>
    </row>
    <row r="32" spans="14:109" ht="20.25" customHeight="1">
      <c r="AJ32" s="77">
        <v>3</v>
      </c>
      <c r="AK32" s="101">
        <v>12518.1818181818</v>
      </c>
      <c r="AL32" s="102">
        <v>0.27272727272727298</v>
      </c>
      <c r="AM32" s="103">
        <v>2</v>
      </c>
      <c r="AN32" s="104">
        <v>6259.0909090908999</v>
      </c>
      <c r="AO32" s="101">
        <v>44.901818181818179</v>
      </c>
      <c r="AP32" s="101">
        <v>2.1018511085432179</v>
      </c>
      <c r="AQ32" s="231"/>
      <c r="AR32" s="231"/>
      <c r="AS32" s="232">
        <v>4.2037022170864358</v>
      </c>
      <c r="AT32" s="106">
        <v>3.8215474700785783E-2</v>
      </c>
    </row>
    <row r="33" spans="36:46" ht="20.25" customHeight="1">
      <c r="AJ33" s="77">
        <v>4</v>
      </c>
      <c r="AK33" s="101">
        <v>16690.909090909099</v>
      </c>
      <c r="AL33" s="102">
        <v>0.36363636363636398</v>
      </c>
      <c r="AM33" s="103">
        <v>2</v>
      </c>
      <c r="AN33" s="104">
        <v>8345.4545454545496</v>
      </c>
      <c r="AO33" s="101">
        <v>59.8690909090909</v>
      </c>
      <c r="AP33" s="101">
        <v>3.3634130862776925</v>
      </c>
      <c r="AQ33" s="231"/>
      <c r="AR33" s="231"/>
      <c r="AS33" s="232">
        <v>6.7268261725553851</v>
      </c>
      <c r="AT33" s="106">
        <v>6.1152965205048954E-2</v>
      </c>
    </row>
    <row r="34" spans="36:46" ht="20.25" customHeight="1">
      <c r="AJ34" s="77">
        <v>5</v>
      </c>
      <c r="AK34" s="101">
        <v>20863.6363636364</v>
      </c>
      <c r="AL34" s="102">
        <v>0.45454545454545497</v>
      </c>
      <c r="AM34" s="103">
        <v>3</v>
      </c>
      <c r="AN34" s="104">
        <v>6954.5454545454668</v>
      </c>
      <c r="AO34" s="101">
        <v>74.836363636363615</v>
      </c>
      <c r="AP34" s="101">
        <v>3.6406663619937238</v>
      </c>
      <c r="AQ34" s="231"/>
      <c r="AR34" s="231"/>
      <c r="AS34" s="232">
        <v>10.921999085981172</v>
      </c>
      <c r="AT34" s="106">
        <v>9.9290900781647012E-2</v>
      </c>
    </row>
    <row r="35" spans="36:46" ht="20.25" customHeight="1">
      <c r="AJ35" s="77">
        <v>6</v>
      </c>
      <c r="AK35" s="101">
        <v>25036.3636363636</v>
      </c>
      <c r="AL35" s="102">
        <v>0.54545454545454497</v>
      </c>
      <c r="AM35" s="103">
        <v>3</v>
      </c>
      <c r="AN35" s="104">
        <v>8345.4545454545332</v>
      </c>
      <c r="AO35" s="101">
        <v>89.803636363636357</v>
      </c>
      <c r="AP35" s="101">
        <v>4.9776897226233512</v>
      </c>
      <c r="AQ35" s="231"/>
      <c r="AR35" s="231"/>
      <c r="AS35" s="232">
        <v>14.933069167870054</v>
      </c>
      <c r="AT35" s="106">
        <v>0.13575517425336411</v>
      </c>
    </row>
    <row r="36" spans="36:46" ht="20.25" customHeight="1">
      <c r="AJ36" s="77">
        <v>7</v>
      </c>
      <c r="AK36" s="101">
        <v>29209.090909090901</v>
      </c>
      <c r="AL36" s="102">
        <v>0.63636363636363635</v>
      </c>
      <c r="AM36" s="103">
        <v>4</v>
      </c>
      <c r="AN36" s="104">
        <v>7302.2727272727252</v>
      </c>
      <c r="AO36" s="101">
        <v>104.77090909090909</v>
      </c>
      <c r="AP36" s="101">
        <v>5.1148542877558443</v>
      </c>
      <c r="AQ36" s="231"/>
      <c r="AR36" s="231"/>
      <c r="AS36" s="232">
        <v>20.459417151023377</v>
      </c>
      <c r="AT36" s="106">
        <v>0.1859947013729398</v>
      </c>
    </row>
    <row r="37" spans="36:46" ht="20.25" customHeight="1">
      <c r="AJ37" s="77">
        <v>8</v>
      </c>
      <c r="AK37" s="101">
        <v>33381.818181818198</v>
      </c>
      <c r="AL37" s="102">
        <v>0.72727272727272696</v>
      </c>
      <c r="AM37" s="103">
        <v>4</v>
      </c>
      <c r="AN37" s="104">
        <v>8345.4545454545496</v>
      </c>
      <c r="AO37" s="101">
        <v>119.7381818181818</v>
      </c>
      <c r="AP37" s="101">
        <v>6.5226814957284454</v>
      </c>
      <c r="AQ37" s="231"/>
      <c r="AR37" s="231"/>
      <c r="AS37" s="232">
        <v>26.090725982913781</v>
      </c>
      <c r="AT37" s="106">
        <v>0.23718841802648893</v>
      </c>
    </row>
    <row r="38" spans="36:46" ht="20.25" customHeight="1">
      <c r="AJ38" s="77">
        <v>9</v>
      </c>
      <c r="AK38" s="101">
        <v>37554.5454545455</v>
      </c>
      <c r="AL38" s="102">
        <v>0.81818181818181801</v>
      </c>
      <c r="AM38" s="103">
        <v>5</v>
      </c>
      <c r="AN38" s="104">
        <v>7510.9090909091001</v>
      </c>
      <c r="AO38" s="101">
        <v>134.70545454545453</v>
      </c>
      <c r="AP38" s="101">
        <v>6.5926775406063296</v>
      </c>
      <c r="AQ38" s="231"/>
      <c r="AR38" s="231"/>
      <c r="AS38" s="232">
        <v>32.96338770303165</v>
      </c>
      <c r="AT38" s="106">
        <v>0.29966716093665136</v>
      </c>
    </row>
    <row r="39" spans="36:46" ht="20.25" customHeight="1">
      <c r="AJ39" s="77">
        <v>10</v>
      </c>
      <c r="AK39" s="101">
        <v>41727.272727272728</v>
      </c>
      <c r="AL39" s="102">
        <v>0.90909090909090906</v>
      </c>
      <c r="AM39" s="103">
        <v>5</v>
      </c>
      <c r="AN39" s="104">
        <v>8345.454545454546</v>
      </c>
      <c r="AO39" s="101">
        <v>149.67272727272723</v>
      </c>
      <c r="AP39" s="101">
        <v>8.0521328131615331</v>
      </c>
      <c r="AQ39" s="231"/>
      <c r="AR39" s="231"/>
      <c r="AS39" s="232">
        <v>40.260664065807667</v>
      </c>
      <c r="AT39" s="106">
        <v>0.36600603696188788</v>
      </c>
    </row>
    <row r="40" spans="36:46" ht="20.25" customHeight="1">
      <c r="AJ40" s="77">
        <v>11</v>
      </c>
      <c r="AK40" s="101">
        <v>45900</v>
      </c>
      <c r="AL40" s="102">
        <v>1</v>
      </c>
      <c r="AM40" s="103">
        <v>5</v>
      </c>
      <c r="AN40" s="104">
        <v>9180</v>
      </c>
      <c r="AO40" s="101">
        <v>164.64</v>
      </c>
      <c r="AP40" s="101">
        <v>9.7026582451281698</v>
      </c>
      <c r="AQ40" s="231"/>
      <c r="AR40" s="231"/>
      <c r="AS40" s="232">
        <v>48.513291225640849</v>
      </c>
      <c r="AT40" s="106">
        <v>0.44102992023309862</v>
      </c>
    </row>
  </sheetData>
  <sheetProtection algorithmName="SHA-512" hashValue="3ZtHZQxPWtHkmEMDJQ72v6PxlE/njCYGXWp6ksQwgQqLhOfsEIVJ7Fo0m2wrztiFZ3nVKi5NUCu9dGmrK5Ny7g==" saltValue="FEZPMpkyWzU3iLmUsgJTzA==" spinCount="100000" sheet="1" objects="1" scenarios="1"/>
  <mergeCells count="5">
    <mergeCell ref="Q18:R18"/>
    <mergeCell ref="BL8:BN8"/>
    <mergeCell ref="BL9:BL12"/>
    <mergeCell ref="BL26:BL29"/>
    <mergeCell ref="BL25:BN25"/>
  </mergeCells>
  <phoneticPr fontId="2"/>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2E6C-9D16-4493-BCF9-F9BE8636A12D}">
  <sheetPr codeName="Sheet5">
    <tabColor theme="0" tint="-0.499984740745262"/>
  </sheetPr>
  <dimension ref="A1:AE53"/>
  <sheetViews>
    <sheetView showGridLines="0" zoomScaleNormal="100" workbookViewId="0"/>
  </sheetViews>
  <sheetFormatPr defaultColWidth="3.375" defaultRowHeight="20.25" customHeight="1"/>
  <cols>
    <col min="1" max="3" width="3.375" style="31"/>
    <col min="4" max="4" width="32.625" style="31" customWidth="1"/>
    <col min="5" max="5" width="9.75" style="31" customWidth="1"/>
    <col min="6" max="9" width="3.375" style="31"/>
    <col min="10" max="10" width="20.625" style="31" bestFit="1" customWidth="1"/>
    <col min="11" max="11" width="9.625" style="31" customWidth="1"/>
    <col min="12" max="12" width="6.75" style="31" bestFit="1" customWidth="1"/>
    <col min="13" max="15" width="3.375" style="31"/>
    <col min="16" max="16" width="13.75" style="31" bestFit="1" customWidth="1"/>
    <col min="17" max="17" width="12.75" style="31" bestFit="1" customWidth="1"/>
    <col min="18" max="19" width="3.375" style="31"/>
    <col min="20" max="20" width="13.75" style="31" bestFit="1" customWidth="1"/>
    <col min="21" max="21" width="12.75" style="31" bestFit="1" customWidth="1"/>
    <col min="22" max="23" width="3.375" style="31"/>
    <col min="24" max="24" width="13.75" style="31" bestFit="1" customWidth="1"/>
    <col min="25" max="25" width="12.75" style="31" bestFit="1" customWidth="1"/>
    <col min="26" max="28" width="3.375" style="31"/>
    <col min="29" max="29" width="11" style="31" bestFit="1" customWidth="1"/>
    <col min="30" max="30" width="15.125" style="31" bestFit="1" customWidth="1"/>
    <col min="31" max="31" width="16.75" style="31" bestFit="1" customWidth="1"/>
    <col min="32" max="33" width="12.125" style="31" customWidth="1"/>
    <col min="34" max="16384" width="3.375" style="31"/>
  </cols>
  <sheetData>
    <row r="1" spans="1:31" s="40" customFormat="1" ht="20.25" customHeight="1">
      <c r="A1" s="40" t="s">
        <v>509</v>
      </c>
      <c r="R1" s="31"/>
      <c r="S1" s="31"/>
      <c r="V1" s="31"/>
      <c r="W1" s="31"/>
    </row>
    <row r="2" spans="1:31" s="40" customFormat="1" ht="30">
      <c r="B2" s="41" t="s">
        <v>103</v>
      </c>
    </row>
    <row r="3" spans="1:31" s="39" customFormat="1" ht="7.5" customHeight="1"/>
    <row r="5" spans="1:31" ht="20.25" customHeight="1">
      <c r="B5" s="31" t="s">
        <v>102</v>
      </c>
      <c r="G5" s="31" t="s">
        <v>101</v>
      </c>
      <c r="AA5" s="31" t="s">
        <v>100</v>
      </c>
    </row>
    <row r="6" spans="1:31" ht="20.25" customHeight="1">
      <c r="C6" s="31" t="str">
        <f>K8&amp;"個以上のサンプルデータがある"</f>
        <v>20個以上のサンプルデータがある</v>
      </c>
      <c r="H6" s="31" t="s">
        <v>99</v>
      </c>
      <c r="N6" s="31" t="s">
        <v>98</v>
      </c>
      <c r="AB6" s="31" t="s">
        <v>331</v>
      </c>
    </row>
    <row r="7" spans="1:31" ht="20.25" customHeight="1">
      <c r="D7" s="33" t="s">
        <v>97</v>
      </c>
      <c r="E7" s="31" t="b">
        <f>AD8</f>
        <v>1</v>
      </c>
      <c r="I7" s="31" t="s">
        <v>81</v>
      </c>
      <c r="O7" s="31" t="s">
        <v>96</v>
      </c>
      <c r="S7" s="31" t="s">
        <v>95</v>
      </c>
      <c r="W7" s="31" t="s">
        <v>116</v>
      </c>
      <c r="AD7" s="36" t="s">
        <v>94</v>
      </c>
      <c r="AE7" s="36" t="s">
        <v>524</v>
      </c>
    </row>
    <row r="8" spans="1:31" ht="20.25" customHeight="1">
      <c r="D8" s="33" t="s">
        <v>93</v>
      </c>
      <c r="E8" s="31" t="b">
        <f>AD9</f>
        <v>1</v>
      </c>
      <c r="J8" s="33" t="s">
        <v>80</v>
      </c>
      <c r="K8" s="32">
        <f>prm!M5</f>
        <v>20</v>
      </c>
      <c r="L8" s="31" t="s">
        <v>79</v>
      </c>
      <c r="AC8" s="34" t="s">
        <v>91</v>
      </c>
      <c r="AD8" s="31" t="b" cm="1">
        <f t="array" ref="AD8:AD10">_xlfn.LET(_xlpm._n, AE8:AE10, _xlpm._n_min, K8, _xlpm._n &gt;= _xlpm._n_min)</f>
        <v>1</v>
      </c>
      <c r="AE8" s="31">
        <f>COUNT(P11:P1010)</f>
        <v>34</v>
      </c>
    </row>
    <row r="9" spans="1:31" ht="20.25" customHeight="1">
      <c r="D9" s="33" t="s">
        <v>90</v>
      </c>
      <c r="E9" s="31" t="b">
        <f>AD10</f>
        <v>1</v>
      </c>
      <c r="P9" s="37" t="s">
        <v>87</v>
      </c>
      <c r="Q9" s="38" t="s">
        <v>89</v>
      </c>
      <c r="R9" s="38"/>
      <c r="S9" s="38"/>
      <c r="T9" s="37" t="s">
        <v>87</v>
      </c>
      <c r="U9" s="37" t="s">
        <v>88</v>
      </c>
      <c r="V9" s="38"/>
      <c r="W9" s="38"/>
      <c r="X9" s="37" t="s">
        <v>87</v>
      </c>
      <c r="Y9" s="37" t="s">
        <v>86</v>
      </c>
      <c r="AC9" s="34" t="s">
        <v>85</v>
      </c>
      <c r="AD9" s="31" t="b">
        <v>1</v>
      </c>
      <c r="AE9" s="31">
        <f>COUNT(T11:T1010)</f>
        <v>43</v>
      </c>
    </row>
    <row r="10" spans="1:31" ht="20.25" customHeight="1">
      <c r="P10" s="36" t="s">
        <v>43</v>
      </c>
      <c r="Q10" s="36" t="s">
        <v>45</v>
      </c>
      <c r="R10" s="37"/>
      <c r="S10" s="37"/>
      <c r="T10" s="36" t="s">
        <v>43</v>
      </c>
      <c r="U10" s="36" t="s">
        <v>50</v>
      </c>
      <c r="V10" s="37"/>
      <c r="W10" s="37"/>
      <c r="X10" s="36" t="s">
        <v>43</v>
      </c>
      <c r="Y10" s="35" t="s">
        <v>83</v>
      </c>
      <c r="AC10" s="34" t="s">
        <v>82</v>
      </c>
      <c r="AD10" s="31" t="b">
        <v>1</v>
      </c>
      <c r="AE10" s="31">
        <f>COUNT(X11:X1010)</f>
        <v>32</v>
      </c>
    </row>
    <row r="11" spans="1:31" ht="20.25" customHeight="1">
      <c r="P11" s="32" cm="1">
        <f t="array" ref="P11:P44">_xlfn.ANCHORARRAY(prm!G5)</f>
        <v>14.84230056</v>
      </c>
      <c r="Q11" s="32" cm="1">
        <f t="array" ref="Q11:Q44">_xlfn.ANCHORARRAY(prm!H5)</f>
        <v>435.65025802881445</v>
      </c>
      <c r="T11" s="32" cm="1">
        <f t="array" ref="T11:T53">_xlfn.ANCHORARRAY(prm!K5)</f>
        <v>0</v>
      </c>
      <c r="U11" s="32" cm="1">
        <f t="array" ref="U11:U53">_xlfn.ANCHORARRAY(prm!L5)</f>
        <v>-5.5813953500000006E-3</v>
      </c>
      <c r="X11" s="32" cm="1">
        <f t="array" ref="X11:X42">_xlfn.ANCHORARRAY(prm!I5)</f>
        <v>14.84230056</v>
      </c>
      <c r="Y11" s="32" cm="1">
        <f t="array" ref="Y11:Y42">_xlfn.ANCHORARRAY(prm!J5)</f>
        <v>5.6744186049999996</v>
      </c>
    </row>
    <row r="12" spans="1:31" ht="20.25" customHeight="1">
      <c r="D12" s="33"/>
      <c r="P12" s="31">
        <v>163.2653061</v>
      </c>
      <c r="Q12" s="31">
        <v>436.55409675204953</v>
      </c>
      <c r="T12" s="31">
        <v>66.790352499999997</v>
      </c>
      <c r="U12" s="31">
        <v>5.3953488370000004E-2</v>
      </c>
      <c r="X12" s="31">
        <v>126.15955470000002</v>
      </c>
      <c r="Y12" s="31">
        <v>6.2325581400000001</v>
      </c>
    </row>
    <row r="13" spans="1:31" ht="20.25" customHeight="1">
      <c r="D13" s="33"/>
      <c r="P13" s="31">
        <v>326.53061220000001</v>
      </c>
      <c r="Q13" s="31">
        <v>434.74641940364597</v>
      </c>
      <c r="T13" s="31">
        <v>126.15955470000002</v>
      </c>
      <c r="U13" s="31">
        <v>0.1023255814</v>
      </c>
      <c r="X13" s="31">
        <v>267.16140999999999</v>
      </c>
      <c r="Y13" s="31">
        <v>7.1627906980000002</v>
      </c>
    </row>
    <row r="14" spans="1:31" ht="20.25" customHeight="1">
      <c r="D14" s="33"/>
      <c r="P14" s="31">
        <v>482.37476810000004</v>
      </c>
      <c r="Q14" s="31">
        <v>435.65025802881445</v>
      </c>
      <c r="T14" s="31">
        <v>185.52875700000001</v>
      </c>
      <c r="U14" s="31">
        <v>0.1451162791</v>
      </c>
      <c r="X14" s="31">
        <v>385.89981449999999</v>
      </c>
      <c r="Y14" s="31">
        <v>7.6279069770000003</v>
      </c>
    </row>
    <row r="15" spans="1:31" ht="20.25" customHeight="1">
      <c r="P15" s="31">
        <v>667.90352499999995</v>
      </c>
      <c r="Q15" s="31">
        <v>431.13106451070598</v>
      </c>
      <c r="T15" s="31">
        <v>237.47680890000001</v>
      </c>
      <c r="U15" s="31">
        <v>0.18790697670000001</v>
      </c>
      <c r="X15" s="31">
        <v>526.90166980000004</v>
      </c>
      <c r="Y15" s="31">
        <v>8.7441860469999995</v>
      </c>
    </row>
    <row r="16" spans="1:31" ht="20.25" customHeight="1">
      <c r="P16" s="31">
        <v>823.74768089999998</v>
      </c>
      <c r="Q16" s="31">
        <v>426.61187099259752</v>
      </c>
      <c r="T16" s="31">
        <v>304.26716140000002</v>
      </c>
      <c r="U16" s="31">
        <v>0.23255813950000001</v>
      </c>
      <c r="X16" s="31">
        <v>675.32467529999997</v>
      </c>
      <c r="Y16" s="31">
        <v>9.7674418599999999</v>
      </c>
    </row>
    <row r="17" spans="16:25" ht="20.25" customHeight="1">
      <c r="P17" s="31">
        <v>935.06493509999996</v>
      </c>
      <c r="Q17" s="31">
        <v>422.99651609965753</v>
      </c>
      <c r="T17" s="31">
        <v>378.47866420000003</v>
      </c>
      <c r="U17" s="31">
        <v>0.2958139535</v>
      </c>
      <c r="X17" s="31">
        <v>816.32653059999996</v>
      </c>
      <c r="Y17" s="31">
        <v>10.69767442</v>
      </c>
    </row>
    <row r="18" spans="16:25" ht="20.25" customHeight="1">
      <c r="P18" s="31">
        <v>1046.3821889999999</v>
      </c>
      <c r="Q18" s="31">
        <v>419.38116130478397</v>
      </c>
      <c r="T18" s="31">
        <v>482.37476810000004</v>
      </c>
      <c r="U18" s="31">
        <v>0.36465116279999998</v>
      </c>
      <c r="X18" s="31">
        <v>979.59183670000004</v>
      </c>
      <c r="Y18" s="31">
        <v>11.627906980000001</v>
      </c>
    </row>
    <row r="19" spans="16:25" ht="20.25" customHeight="1">
      <c r="P19" s="31">
        <v>1179.962894</v>
      </c>
      <c r="Q19" s="31">
        <v>412.15045161697043</v>
      </c>
      <c r="T19" s="31">
        <v>578.84972170000003</v>
      </c>
      <c r="U19" s="31">
        <v>0.41860465120000001</v>
      </c>
      <c r="X19" s="31">
        <v>1105.751391</v>
      </c>
      <c r="Y19" s="31">
        <v>12.651162790000001</v>
      </c>
    </row>
    <row r="20" spans="16:25" ht="20.25" customHeight="1">
      <c r="P20" s="31">
        <v>1350.649351</v>
      </c>
      <c r="Q20" s="31">
        <v>404.01590320592197</v>
      </c>
      <c r="T20" s="31">
        <v>697.58812620000015</v>
      </c>
      <c r="U20" s="31">
        <v>0.48930232560000003</v>
      </c>
      <c r="X20" s="31">
        <v>1269.0166979999999</v>
      </c>
      <c r="Y20" s="31">
        <v>13.48837209</v>
      </c>
    </row>
    <row r="21" spans="16:25" ht="20.25" customHeight="1">
      <c r="P21" s="31">
        <v>1528.7569570000001</v>
      </c>
      <c r="Q21" s="31">
        <v>393.16983872323493</v>
      </c>
      <c r="T21" s="31">
        <v>764.37847869999996</v>
      </c>
      <c r="U21" s="31">
        <v>0.51906976739999999</v>
      </c>
      <c r="X21" s="31">
        <v>1461.9666050000003</v>
      </c>
      <c r="Y21" s="31">
        <v>14.60465116</v>
      </c>
    </row>
    <row r="22" spans="16:25" ht="20.25" customHeight="1">
      <c r="P22" s="31">
        <v>1721.7068650000003</v>
      </c>
      <c r="Q22" s="31">
        <v>382.32377424054795</v>
      </c>
      <c r="T22" s="31">
        <v>831.16883120000011</v>
      </c>
      <c r="U22" s="31">
        <v>0.54139534879999995</v>
      </c>
      <c r="X22" s="31">
        <v>1632.653061</v>
      </c>
      <c r="Y22" s="31">
        <v>15.627906980000001</v>
      </c>
    </row>
    <row r="23" spans="16:25" ht="20.25" customHeight="1">
      <c r="P23" s="31">
        <v>1870.12987</v>
      </c>
      <c r="Q23" s="31">
        <v>372.38154838302955</v>
      </c>
      <c r="T23" s="31">
        <v>890.53803340000002</v>
      </c>
      <c r="U23" s="31">
        <v>0.56186046509999998</v>
      </c>
      <c r="X23" s="31">
        <v>1803.339518</v>
      </c>
      <c r="Y23" s="31">
        <v>16.74418605</v>
      </c>
    </row>
    <row r="24" spans="16:25" ht="20.25" customHeight="1">
      <c r="P24" s="31">
        <v>2063.0797769999999</v>
      </c>
      <c r="Q24" s="31">
        <v>363.34316124874601</v>
      </c>
      <c r="T24" s="31">
        <v>949.90723560000004</v>
      </c>
      <c r="U24" s="31">
        <v>0.58046511629999997</v>
      </c>
      <c r="X24" s="31">
        <v>1966.604824</v>
      </c>
      <c r="Y24" s="31">
        <v>17.302325580000002</v>
      </c>
    </row>
    <row r="25" spans="16:25" ht="20.25" customHeight="1">
      <c r="P25" s="31">
        <v>2211.5027829999999</v>
      </c>
      <c r="Q25" s="31">
        <v>352.49709676605903</v>
      </c>
      <c r="T25" s="31">
        <v>1024.1187379999999</v>
      </c>
      <c r="U25" s="31">
        <v>0.59534883720000009</v>
      </c>
      <c r="X25" s="31">
        <v>2159.5547310000002</v>
      </c>
      <c r="Y25" s="31">
        <v>18.139534879999999</v>
      </c>
    </row>
    <row r="26" spans="16:25" ht="20.25" customHeight="1">
      <c r="P26" s="31">
        <v>2404.4526900000001</v>
      </c>
      <c r="Q26" s="31">
        <v>338.93951611366703</v>
      </c>
      <c r="T26" s="31">
        <v>1135.4359930000001</v>
      </c>
      <c r="U26" s="31">
        <v>0.60651162790000002</v>
      </c>
      <c r="X26" s="31">
        <v>2322.820037</v>
      </c>
      <c r="Y26" s="31">
        <v>18.79069767</v>
      </c>
    </row>
    <row r="27" spans="16:25" ht="20.25" customHeight="1">
      <c r="P27" s="31">
        <v>2619.666048</v>
      </c>
      <c r="Q27" s="31">
        <v>325.38193546127502</v>
      </c>
      <c r="T27" s="31">
        <v>1261.5955469999999</v>
      </c>
      <c r="U27" s="31">
        <v>0.62883720930000009</v>
      </c>
      <c r="X27" s="31">
        <v>2463.8218919999999</v>
      </c>
      <c r="Y27" s="31">
        <v>19.06976744</v>
      </c>
    </row>
    <row r="28" spans="16:25" ht="20.25" customHeight="1">
      <c r="P28" s="31">
        <v>2812.6159550000002</v>
      </c>
      <c r="Q28" s="31">
        <v>313.63203225535301</v>
      </c>
      <c r="T28" s="31">
        <v>1395.176252</v>
      </c>
      <c r="U28" s="31">
        <v>0.63627906980000004</v>
      </c>
      <c r="X28" s="31">
        <v>2589.9814470000001</v>
      </c>
      <c r="Y28" s="31">
        <v>19.813953489999999</v>
      </c>
    </row>
    <row r="29" spans="16:25" ht="20.25" customHeight="1">
      <c r="P29" s="31">
        <v>2953.6178110000001</v>
      </c>
      <c r="Q29" s="31">
        <v>304.59364512106953</v>
      </c>
      <c r="T29" s="31">
        <v>1521.3358069999999</v>
      </c>
      <c r="U29" s="31">
        <v>0.65302325579999998</v>
      </c>
      <c r="X29" s="31">
        <v>2701.2987010000002</v>
      </c>
      <c r="Y29" s="31">
        <v>20.093023259999999</v>
      </c>
    </row>
    <row r="30" spans="16:25" ht="20.25" customHeight="1">
      <c r="P30" s="31">
        <v>3072.3562149999998</v>
      </c>
      <c r="Q30" s="31">
        <v>294.65141936161746</v>
      </c>
      <c r="T30" s="31">
        <v>1684.6011129999999</v>
      </c>
      <c r="U30" s="31">
        <v>0.66790697669999999</v>
      </c>
      <c r="X30" s="31">
        <v>2812.6159550000002</v>
      </c>
      <c r="Y30" s="31">
        <v>20.27906977</v>
      </c>
    </row>
    <row r="31" spans="16:25" ht="20.25" customHeight="1">
      <c r="P31" s="31">
        <v>3191.0946199999998</v>
      </c>
      <c r="Q31" s="31">
        <v>285.61303222733397</v>
      </c>
      <c r="T31" s="31">
        <v>1833.0241190000002</v>
      </c>
      <c r="U31" s="31">
        <v>0.68093023259999996</v>
      </c>
      <c r="X31" s="31">
        <v>2961.0389610000002</v>
      </c>
      <c r="Y31" s="31">
        <v>20.651162790000001</v>
      </c>
    </row>
    <row r="32" spans="16:25" ht="20.25" customHeight="1">
      <c r="P32" s="31">
        <v>3361.7810760000002</v>
      </c>
      <c r="Q32" s="31">
        <v>275.67080646788202</v>
      </c>
      <c r="T32" s="31">
        <v>1974.0259739999999</v>
      </c>
      <c r="U32" s="31">
        <v>0.68837209300000002</v>
      </c>
      <c r="X32" s="31">
        <v>3116.8831169999999</v>
      </c>
      <c r="Y32" s="31">
        <v>21.023255809999998</v>
      </c>
    </row>
    <row r="33" spans="16:25" ht="20.25" customHeight="1">
      <c r="P33" s="31">
        <v>3465.6771800000001</v>
      </c>
      <c r="Q33" s="31">
        <v>264.82474188712848</v>
      </c>
      <c r="T33" s="31">
        <v>2129.8701300000002</v>
      </c>
      <c r="U33" s="31">
        <v>0.69395348839999993</v>
      </c>
      <c r="X33" s="31">
        <v>3287.5695730000002</v>
      </c>
      <c r="Y33" s="31">
        <v>21.302325580000002</v>
      </c>
    </row>
    <row r="34" spans="16:25" ht="20.25" customHeight="1">
      <c r="P34" s="31">
        <v>3569.5732840000001</v>
      </c>
      <c r="Q34" s="31">
        <v>253.9786774044415</v>
      </c>
      <c r="T34" s="31">
        <v>2300.5565860000002</v>
      </c>
      <c r="U34" s="31">
        <v>0.70697674420000001</v>
      </c>
      <c r="X34" s="31">
        <v>3480.5194809999998</v>
      </c>
      <c r="Y34" s="31">
        <v>21.488372089999999</v>
      </c>
    </row>
    <row r="35" spans="16:25" ht="20.25" customHeight="1">
      <c r="P35" s="31">
        <v>3703.1539889999999</v>
      </c>
      <c r="Q35" s="31">
        <v>241.32493547528449</v>
      </c>
      <c r="T35" s="31">
        <v>2463.8218919999999</v>
      </c>
      <c r="U35" s="31">
        <v>0.71069767440000009</v>
      </c>
      <c r="X35" s="31">
        <v>3643.7847870000001</v>
      </c>
      <c r="Y35" s="31">
        <v>21.767441860000002</v>
      </c>
    </row>
    <row r="36" spans="16:25" ht="20.25" customHeight="1">
      <c r="P36" s="31">
        <v>3836.7346940000007</v>
      </c>
      <c r="Q36" s="31">
        <v>228.67119354612751</v>
      </c>
      <c r="T36" s="31">
        <v>2619.666048</v>
      </c>
      <c r="U36" s="31">
        <v>0.71813953490000004</v>
      </c>
      <c r="X36" s="31">
        <v>3784.786642</v>
      </c>
      <c r="Y36" s="31">
        <v>21.953488369999999</v>
      </c>
    </row>
    <row r="37" spans="16:25" ht="20.25" customHeight="1">
      <c r="P37" s="31">
        <v>3962.8942489999999</v>
      </c>
      <c r="Q37" s="31">
        <v>216.92129034020547</v>
      </c>
      <c r="T37" s="31">
        <v>2745.8256029999998</v>
      </c>
      <c r="U37" s="31">
        <v>0.72</v>
      </c>
      <c r="X37" s="31">
        <v>3955.4730979999999</v>
      </c>
      <c r="Y37" s="31">
        <v>22.139534879999999</v>
      </c>
    </row>
    <row r="38" spans="16:25" ht="20.25" customHeight="1">
      <c r="P38" s="31">
        <v>4103.8961040000004</v>
      </c>
      <c r="Q38" s="31">
        <v>200.65219351810848</v>
      </c>
      <c r="T38" s="31">
        <v>2916.5120590000001</v>
      </c>
      <c r="U38" s="31">
        <v>0.72372093019999995</v>
      </c>
      <c r="X38" s="31">
        <v>4141.0018550000004</v>
      </c>
      <c r="Y38" s="31">
        <v>22.232558139999998</v>
      </c>
    </row>
    <row r="39" spans="16:25" ht="20.25" customHeight="1">
      <c r="P39" s="31">
        <v>4207.7922079999998</v>
      </c>
      <c r="Q39" s="31">
        <v>187.9984515889515</v>
      </c>
      <c r="T39" s="31">
        <v>3072.3562149999998</v>
      </c>
      <c r="U39" s="31">
        <v>0.72372093019999995</v>
      </c>
      <c r="X39" s="31">
        <v>4267.1614099999997</v>
      </c>
      <c r="Y39" s="31">
        <v>22.325581400000001</v>
      </c>
    </row>
    <row r="40" spans="16:25" ht="20.25" customHeight="1">
      <c r="P40" s="31">
        <v>4296.8460109999996</v>
      </c>
      <c r="Q40" s="31">
        <v>177.15238710626448</v>
      </c>
      <c r="T40" s="31">
        <v>3198.51577</v>
      </c>
      <c r="U40" s="31">
        <v>0.71813953490000004</v>
      </c>
      <c r="X40" s="31">
        <v>4408.163265000001</v>
      </c>
      <c r="Y40" s="31">
        <v>22.60465116</v>
      </c>
    </row>
    <row r="41" spans="16:25" ht="20.25" customHeight="1">
      <c r="P41" s="31">
        <v>4371.0575140000001</v>
      </c>
      <c r="Q41" s="31">
        <v>168.113999971981</v>
      </c>
      <c r="T41" s="31">
        <v>3302.4118740000004</v>
      </c>
      <c r="U41" s="31">
        <v>0.71255813950000002</v>
      </c>
      <c r="X41" s="31">
        <v>4541.7439700000004</v>
      </c>
      <c r="Y41" s="31">
        <v>22.697674419999998</v>
      </c>
    </row>
    <row r="42" spans="16:25" ht="20.25" customHeight="1">
      <c r="P42" s="31">
        <v>4437.8478660000001</v>
      </c>
      <c r="Q42" s="31">
        <v>159.07561293576398</v>
      </c>
      <c r="T42" s="31">
        <v>3443.4137289999999</v>
      </c>
      <c r="U42" s="31">
        <v>0.69953488370000005</v>
      </c>
      <c r="X42" s="31">
        <v>4615.955473</v>
      </c>
      <c r="Y42" s="31">
        <v>22.60465116</v>
      </c>
    </row>
    <row r="43" spans="16:25" ht="20.25" customHeight="1">
      <c r="P43" s="31">
        <v>4512.0593689999996</v>
      </c>
      <c r="Q43" s="31">
        <v>151.8449032479505</v>
      </c>
      <c r="T43" s="31">
        <v>3562.1521340000004</v>
      </c>
      <c r="U43" s="31">
        <v>0.6920930233</v>
      </c>
    </row>
    <row r="44" spans="16:25" ht="20.25" customHeight="1">
      <c r="P44" s="31">
        <v>4601.1131729999997</v>
      </c>
      <c r="Q44" s="31">
        <v>140.99883866719699</v>
      </c>
      <c r="T44" s="31">
        <v>3680.8905380000001</v>
      </c>
      <c r="U44" s="31">
        <v>0.67720930229999998</v>
      </c>
    </row>
    <row r="45" spans="16:25" ht="20.25" customHeight="1">
      <c r="T45" s="31">
        <v>3799.6289419999998</v>
      </c>
      <c r="U45" s="31">
        <v>0.66046511630000004</v>
      </c>
    </row>
    <row r="46" spans="16:25" ht="20.25" customHeight="1">
      <c r="T46" s="31">
        <v>3903.5250460000002</v>
      </c>
      <c r="U46" s="31">
        <v>0.64186046509999994</v>
      </c>
    </row>
    <row r="47" spans="16:25" ht="20.25" customHeight="1">
      <c r="T47" s="31">
        <v>4022.2634509999998</v>
      </c>
      <c r="U47" s="31">
        <v>0.61395348839999997</v>
      </c>
    </row>
    <row r="48" spans="16:25" ht="20.25" customHeight="1">
      <c r="T48" s="31">
        <v>4111.3172539999996</v>
      </c>
      <c r="U48" s="31">
        <v>0.59906976739999995</v>
      </c>
    </row>
    <row r="49" spans="20:21" ht="20.25" customHeight="1">
      <c r="T49" s="31">
        <v>4230.0556589999997</v>
      </c>
      <c r="U49" s="31">
        <v>0.56744186050000001</v>
      </c>
    </row>
    <row r="50" spans="20:21" ht="20.25" customHeight="1">
      <c r="T50" s="31">
        <v>4341.3729130000002</v>
      </c>
      <c r="U50" s="31">
        <v>0.53767441859999998</v>
      </c>
    </row>
    <row r="51" spans="20:21" ht="20.25" customHeight="1">
      <c r="T51" s="31">
        <v>4430.4267159999999</v>
      </c>
      <c r="U51" s="31">
        <v>0.51720930230000006</v>
      </c>
    </row>
    <row r="52" spans="20:21" ht="20.25" customHeight="1">
      <c r="T52" s="31">
        <v>4519.4805189999997</v>
      </c>
      <c r="U52" s="31">
        <v>0.49116279069999996</v>
      </c>
    </row>
    <row r="53" spans="20:21" ht="20.25" customHeight="1">
      <c r="T53" s="31">
        <v>4601.1131729999997</v>
      </c>
      <c r="U53" s="31">
        <v>0.46325581399999999</v>
      </c>
    </row>
  </sheetData>
  <sheetProtection algorithmName="SHA-512" hashValue="j3G/4nsiYiejToDVswLgB6QRQ03N0q4k5DWXwj6XEGyuHjXguQRLLMjzN5DoOaKWYzkY8A5jalJXtPjTXPgwGA==" saltValue="Z6xXwlxRxNisHvZVsgOt/A==" spinCount="100000" sheet="1" objects="1" scenarios="1"/>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7CC0A-E92B-4CA2-8E33-0D5A1AFBCAB0}">
  <sheetPr codeName="Sheet6">
    <tabColor theme="0" tint="-0.499984740745262"/>
  </sheetPr>
  <dimension ref="A1:BA53"/>
  <sheetViews>
    <sheetView showGridLines="0" zoomScaleNormal="100" workbookViewId="0"/>
  </sheetViews>
  <sheetFormatPr defaultColWidth="3.375" defaultRowHeight="20.25" customHeight="1"/>
  <cols>
    <col min="1" max="4" width="3.375" style="31"/>
    <col min="5" max="5" width="13.75" style="31" bestFit="1" customWidth="1"/>
    <col min="6" max="6" width="12.75" style="31" bestFit="1" customWidth="1"/>
    <col min="7" max="8" width="3.375" style="31"/>
    <col min="9" max="9" width="13.75" style="31" bestFit="1" customWidth="1"/>
    <col min="10" max="10" width="12.75" style="31" bestFit="1" customWidth="1"/>
    <col min="11" max="12" width="3.375" style="31"/>
    <col min="13" max="13" width="13.75" style="31" bestFit="1" customWidth="1"/>
    <col min="14" max="14" width="12.75" style="31" bestFit="1" customWidth="1"/>
    <col min="15" max="18" width="3.375" style="31"/>
    <col min="19" max="19" width="16.875" style="31" bestFit="1" customWidth="1"/>
    <col min="20" max="20" width="9.625" style="31" customWidth="1"/>
    <col min="21" max="21" width="6.75" style="31" bestFit="1" customWidth="1"/>
    <col min="22" max="24" width="3.375" style="31"/>
    <col min="25" max="25" width="13.75" style="31" bestFit="1" customWidth="1"/>
    <col min="26" max="26" width="12.75" style="31" bestFit="1" customWidth="1"/>
    <col min="27" max="28" width="3.375" style="31"/>
    <col min="29" max="29" width="13.75" style="31" bestFit="1" customWidth="1"/>
    <col min="30" max="30" width="12.75" style="31" bestFit="1" customWidth="1"/>
    <col min="31" max="32" width="3.375" style="31"/>
    <col min="33" max="33" width="13.75" style="31" bestFit="1" customWidth="1"/>
    <col min="34" max="34" width="12.75" style="31" bestFit="1" customWidth="1"/>
    <col min="35" max="43" width="3.375" style="31"/>
    <col min="44" max="45" width="13.75" style="31" customWidth="1"/>
    <col min="46" max="47" width="3.375" style="31"/>
    <col min="48" max="49" width="13.75" style="31" customWidth="1"/>
    <col min="50" max="51" width="3.375" style="31"/>
    <col min="52" max="53" width="13.75" style="31" customWidth="1"/>
    <col min="54" max="16384" width="3.375" style="31"/>
  </cols>
  <sheetData>
    <row r="1" spans="1:53" s="40" customFormat="1" ht="20.25" customHeight="1">
      <c r="A1" s="40" t="s">
        <v>509</v>
      </c>
      <c r="G1" s="31"/>
      <c r="H1" s="31"/>
      <c r="K1" s="31"/>
      <c r="L1" s="31"/>
      <c r="AA1" s="31"/>
      <c r="AB1" s="31"/>
      <c r="AE1" s="31"/>
      <c r="AF1" s="31"/>
    </row>
    <row r="2" spans="1:53" s="40" customFormat="1" ht="30">
      <c r="B2" s="41" t="s">
        <v>118</v>
      </c>
    </row>
    <row r="3" spans="1:53" s="39" customFormat="1" ht="7.5" customHeight="1"/>
    <row r="5" spans="1:53" ht="20.25" customHeight="1">
      <c r="B5" s="31" t="s">
        <v>102</v>
      </c>
      <c r="P5" s="31" t="s">
        <v>101</v>
      </c>
      <c r="AJ5" s="31" t="s">
        <v>100</v>
      </c>
    </row>
    <row r="6" spans="1:53" ht="20.25" customHeight="1">
      <c r="C6" s="31" t="s">
        <v>98</v>
      </c>
      <c r="Q6" s="31" t="s">
        <v>99</v>
      </c>
      <c r="W6" s="31" t="s">
        <v>98</v>
      </c>
      <c r="AK6" s="31" t="s">
        <v>117</v>
      </c>
    </row>
    <row r="7" spans="1:53" ht="20.25" customHeight="1">
      <c r="D7" s="31" t="s">
        <v>113</v>
      </c>
      <c r="H7" s="31" t="s">
        <v>95</v>
      </c>
      <c r="L7" s="31" t="s">
        <v>116</v>
      </c>
      <c r="S7" s="33" t="s">
        <v>115</v>
      </c>
      <c r="T7" s="32">
        <f>10^3</f>
        <v>1000</v>
      </c>
      <c r="U7" s="31" t="s">
        <v>114</v>
      </c>
      <c r="X7" s="31" t="s">
        <v>96</v>
      </c>
      <c r="AB7" s="31" t="s">
        <v>95</v>
      </c>
      <c r="AF7" s="31" t="s">
        <v>116</v>
      </c>
      <c r="AQ7" s="31" t="s">
        <v>113</v>
      </c>
      <c r="AU7" s="31" t="s">
        <v>95</v>
      </c>
      <c r="AY7" s="31" t="s">
        <v>116</v>
      </c>
    </row>
    <row r="8" spans="1:53" ht="20.25" customHeight="1">
      <c r="R8" s="31" t="s">
        <v>112</v>
      </c>
      <c r="S8" s="33"/>
      <c r="T8" s="33"/>
      <c r="U8" s="33"/>
    </row>
    <row r="9" spans="1:53" ht="20.25" customHeight="1">
      <c r="E9" s="37" t="s">
        <v>109</v>
      </c>
      <c r="F9" s="38" t="s">
        <v>108</v>
      </c>
      <c r="G9" s="38"/>
      <c r="H9" s="38"/>
      <c r="I9" s="37" t="s">
        <v>109</v>
      </c>
      <c r="J9" s="37" t="s">
        <v>88</v>
      </c>
      <c r="K9" s="38"/>
      <c r="L9" s="38"/>
      <c r="M9" s="37" t="s">
        <v>109</v>
      </c>
      <c r="N9" s="37" t="s">
        <v>106</v>
      </c>
      <c r="S9" s="33" t="s">
        <v>111</v>
      </c>
      <c r="T9" s="32">
        <v>0.3</v>
      </c>
      <c r="U9" s="31" t="s">
        <v>110</v>
      </c>
      <c r="Y9" s="37" t="s">
        <v>87</v>
      </c>
      <c r="Z9" s="38" t="s">
        <v>89</v>
      </c>
      <c r="AA9" s="38"/>
      <c r="AB9" s="38"/>
      <c r="AC9" s="37" t="s">
        <v>87</v>
      </c>
      <c r="AD9" s="37" t="s">
        <v>88</v>
      </c>
      <c r="AE9" s="38"/>
      <c r="AF9" s="38"/>
      <c r="AG9" s="37" t="s">
        <v>87</v>
      </c>
      <c r="AH9" s="37" t="s">
        <v>86</v>
      </c>
      <c r="AR9" s="37" t="s">
        <v>109</v>
      </c>
      <c r="AS9" s="38" t="s">
        <v>108</v>
      </c>
      <c r="AV9" s="37" t="s">
        <v>107</v>
      </c>
      <c r="AW9" s="37" t="s">
        <v>88</v>
      </c>
      <c r="AZ9" s="37" t="s">
        <v>107</v>
      </c>
      <c r="BA9" s="37" t="s">
        <v>106</v>
      </c>
    </row>
    <row r="10" spans="1:53" ht="20.25" customHeight="1">
      <c r="E10" s="36" t="s">
        <v>50</v>
      </c>
      <c r="F10" s="36" t="s">
        <v>50</v>
      </c>
      <c r="G10" s="37"/>
      <c r="H10" s="37"/>
      <c r="I10" s="36" t="s">
        <v>50</v>
      </c>
      <c r="J10" s="36" t="s">
        <v>50</v>
      </c>
      <c r="K10" s="37"/>
      <c r="L10" s="37"/>
      <c r="M10" s="36" t="s">
        <v>50</v>
      </c>
      <c r="N10" s="36" t="s">
        <v>50</v>
      </c>
      <c r="S10" s="33" t="s">
        <v>105</v>
      </c>
      <c r="T10" s="32">
        <f>prm!D5</f>
        <v>30</v>
      </c>
      <c r="U10" s="31" t="s">
        <v>104</v>
      </c>
      <c r="Y10" s="36" t="s">
        <v>43</v>
      </c>
      <c r="Z10" s="36" t="s">
        <v>45</v>
      </c>
      <c r="AA10" s="37"/>
      <c r="AB10" s="37"/>
      <c r="AC10" s="36" t="s">
        <v>43</v>
      </c>
      <c r="AD10" s="36" t="s">
        <v>50</v>
      </c>
      <c r="AE10" s="37"/>
      <c r="AF10" s="37"/>
      <c r="AG10" s="36" t="s">
        <v>43</v>
      </c>
      <c r="AH10" s="35" t="s">
        <v>83</v>
      </c>
      <c r="AR10" s="36" t="s">
        <v>50</v>
      </c>
      <c r="AS10" s="36" t="s">
        <v>50</v>
      </c>
      <c r="AV10" s="36" t="s">
        <v>50</v>
      </c>
      <c r="AW10" s="36" t="s">
        <v>50</v>
      </c>
      <c r="AZ10" s="36" t="s">
        <v>50</v>
      </c>
      <c r="BA10" s="35" t="s">
        <v>50</v>
      </c>
    </row>
    <row r="11" spans="1:53" ht="20.25" customHeight="1">
      <c r="E11" s="31" cm="1">
        <f t="array" ref="E11:E44">_xlfn.ANCHORARRAY(AR11)</f>
        <v>1.832382785185185E-2</v>
      </c>
      <c r="F11" s="31" cm="1">
        <f t="array" ref="F11:F44">_xlfn.ANCHORARRAY(AS11)</f>
        <v>5.3783982472693141</v>
      </c>
      <c r="I11" s="31" cm="1">
        <f t="array" ref="I11:I53">_xlfn.ANCHORARRAY(AV11)</f>
        <v>0</v>
      </c>
      <c r="J11" s="31" cm="1">
        <f t="array" ref="J11:J53">_xlfn.ANCHORARRAY(AW11)</f>
        <v>-5.5813953500000006E-3</v>
      </c>
      <c r="M11" s="31" cm="1">
        <f t="array" ref="M11:M42">_xlfn.ANCHORARRAY(AZ11)</f>
        <v>1.832382785185185E-2</v>
      </c>
      <c r="N11" s="31" cm="1">
        <f t="array" ref="N11:N42">_xlfn.ANCHORARRAY(BA11)</f>
        <v>8.6487099603718936E-5</v>
      </c>
      <c r="Y11" s="32" cm="1">
        <f t="array" ref="Y11:Y44">_xlfn.ANCHORARRAY(prm!G5)</f>
        <v>14.84230056</v>
      </c>
      <c r="Z11" s="32" cm="1">
        <f t="array" ref="Z11:Z44">_xlfn.ANCHORARRAY(prm!H5)</f>
        <v>435.65025802881445</v>
      </c>
      <c r="AC11" s="32" cm="1">
        <f t="array" ref="AC11:AC53">_xlfn.ANCHORARRAY(prm!K5)</f>
        <v>0</v>
      </c>
      <c r="AD11" s="32" cm="1">
        <f t="array" ref="AD11:AD53">_xlfn.ANCHORARRAY(prm!L5)</f>
        <v>-5.5813953500000006E-3</v>
      </c>
      <c r="AG11" s="32" cm="1">
        <f t="array" ref="AG11:AG42">_xlfn.ANCHORARRAY(prm!I5)</f>
        <v>14.84230056</v>
      </c>
      <c r="AH11" s="32" cm="1">
        <f t="array" ref="AH11:AH42">_xlfn.ANCHORARRAY(prm!J5)</f>
        <v>5.6744186049999996</v>
      </c>
      <c r="AR11" s="31" cm="1">
        <f t="array" ref="AR11:AR44">_xlfn.LET(
    _xlpm._rho, $T$7,
    _xlpm._D, $T$9,
    _xlpm._N_r, $T$10,
    _xlpm._m_input, Y11:Y1011,
    _xlpm._numbers_row_available, _xlfn.LET(
        _xlpm._tmp, _xlfn._xlws.SORT(
            _xlfn.UNIQUE(
                _xlfn.SEQUENCE(ROWS(_xlpm._m_input)) *
                    (LEN(TRIM(_xlpm._m_input)) &gt; 0)
            )
        ),
        IF(
            ROWS(_xlpm._tmp) = 1,
            IF(_xlpm._tmp = 0, NA(), _xlpm._tmp),
            _xlfn.UNIQUE(IF(_xlpm._tmp = 0, INDEX(_xlpm._tmp, 2), _xlpm._tmp))
        )
    ),
    _xlpm._C_f, IF(
        ISNA(_xlpm._numbers_row_available),
        {""},
        _xlfn.LET(
            _xlpm._m, _xlfn.CHOOSEROWS(
                _xlpm._m_input,
                _xlpm._numbers_row_available
            ),
            _xlpm._m * _xlpm._rho ^ -1 * _xlpm._N_r ^ -1 * _xlpm._D ^ -3
        )
    ),
    _xlpm._C_f
)</f>
        <v>1.832382785185185E-2</v>
      </c>
      <c r="AS11" s="31" cm="1">
        <f t="array" ref="AS11:AS44">_xlfn.LET(
    _xlpm._rho, $T$7,
    _xlpm._D, $T$9,
    _xlpm._N_r, $T$10,
    _xlpm._dp_input, Z11:Z1011,
    _xlpm._numbers_row_available, _xlfn.LET(
        _xlpm._tmp, _xlfn._xlws.SORT(
            _xlfn.UNIQUE(
                _xlfn.SEQUENCE(ROWS(_xlpm._dp_input)) *
                    (LEN(TRIM(_xlpm._dp_input)) &gt; 0)
            )
        ),
        IF(
            ROWS(_xlpm._tmp) = 1,
            IF(_xlpm._tmp = 0, NA(), _xlpm._tmp),
            _xlfn.UNIQUE(IF(_xlpm._tmp = 0, INDEX(_xlpm._tmp, 2), _xlpm._tmp))
        )
    ),
    _xlpm._C_h, IF(
        ISNA(_xlpm._numbers_row_available),
        {""},
        _xlfn.LET(
            _xlpm._dP, _xlfn.CHOOSEROWS(
                _xlpm._dp_input,
                _xlpm._numbers_row_available
            ),
            10 ^ 3 * _xlpm._dP * _xlpm._rho ^ -1 * _xlpm._N_r ^ -2 *
                _xlpm._D ^ -2
        )
    ),
    _xlpm._C_h
)</f>
        <v>5.3783982472693141</v>
      </c>
      <c r="AV11" s="31" cm="1">
        <f t="array" ref="AV11:AV53">_xlfn.LET(
    _xlpm._rho, $T$7,
    _xlpm._D, $T$9,
    _xlpm._N_r, $T$10,
    _xlpm._m_input, AC11:AC1011,
    _xlpm._numbers_row_available, _xlfn.LET(
        _xlpm._tmp, _xlfn._xlws.SORT(
            _xlfn.UNIQUE(
                _xlfn.SEQUENCE(ROWS(_xlpm._m_input)) *
                    (LEN(TRIM(_xlpm._m_input)) &gt; 0)
            )
        ),
        IF(
            ROWS(_xlpm._tmp) = 1,
            IF(_xlpm._tmp = 0, NA(), _xlpm._tmp),
            _xlfn.UNIQUE(IF(_xlpm._tmp = 0, INDEX(_xlpm._tmp, 2), _xlpm._tmp))
        )
    ),
    _xlpm._C_f, IF(
        ISNA(_xlpm._numbers_row_available),
        {""},
        _xlfn.LET(
            _xlpm._m, _xlfn.CHOOSEROWS(
                _xlpm._m_input,
                _xlpm._numbers_row_available
            ),
            _xlpm._m * _xlpm._rho ^ -1 * _xlpm._N_r ^ -1 * _xlpm._D ^ -3
        )
    ),
    _xlpm._C_f
)</f>
        <v>0</v>
      </c>
      <c r="AW11" s="31" cm="1">
        <f t="array" ref="AW11:AW53">_xlfn.LET(
    _xlpm._eta_input, AD11:AD1011,
    _xlpm._numbers_row_available, _xlfn.LET(
        _xlpm._tmp, _xlfn._xlws.SORT(
            _xlfn.UNIQUE(
                _xlfn.SEQUENCE(ROWS(_xlpm._eta_input)) *
                    (LEN(TRIM(_xlpm._eta_input)) &gt; 0)
            )
        ),
        IF(
            ROWS(_xlpm._tmp) = 1,
            IF(_xlpm._tmp = 0, NA(), _xlpm._tmp),
            _xlfn.UNIQUE(IF(_xlpm._tmp = 0, INDEX(_xlpm._tmp, 2), _xlpm._tmp))
        )
    ),
    _xlpm._eta, IF(
        ISNA(_xlpm._numbers_row_available),
        {""},
        _xlfn.CHOOSEROWS(_xlpm._eta_input, _xlpm._numbers_row_available)
    ),
    _xlpm._eta
)</f>
        <v>-5.5813953500000006E-3</v>
      </c>
      <c r="AZ11" s="31" cm="1">
        <f t="array" ref="AZ11:AZ42">_xlfn.LET(
    _xlpm._rho, $T$7,
    _xlpm._D, $T$9,
    _xlpm._N_r, $T$10,
    _xlpm._m_input, AG11:AG1011,
    _xlpm._numbers_row_available, _xlfn.LET(
        _xlpm._tmp, _xlfn._xlws.SORT(
            _xlfn.UNIQUE(
                _xlfn.SEQUENCE(ROWS(_xlpm._m_input)) *
                    (LEN(TRIM(_xlpm._m_input)) &gt; 0)
            )
        ),
        IF(
            ROWS(_xlpm._tmp) = 1,
            IF(_xlpm._tmp = 0, NA(), _xlpm._tmp),
            _xlfn.UNIQUE(IF(_xlpm._tmp = 0, INDEX(_xlpm._tmp, 2), _xlpm._tmp))
        )
    ),
    _xlpm._C_f, IF(
        ISNA(_xlpm._numbers_row_available),
        {""},
        _xlfn.LET(
            _xlpm._m, _xlfn.CHOOSEROWS(
                _xlpm._m_input,
                _xlpm._numbers_row_available
            ),
            _xlpm._m * _xlpm._rho ^ -1 * _xlpm._N_r ^ -1 * _xlpm._D ^ -3
        )
    ),
    _xlpm._C_f
)</f>
        <v>1.832382785185185E-2</v>
      </c>
      <c r="BA11" s="31" cm="1">
        <f t="array" ref="BA11:BA42">_xlfn.LET(
    _xlpm._rho, $T$7,
    _xlpm._D, $T$9,
    _xlpm._N_r, $T$10,
    _xlpm._W_input, AH11:AH1011,
    _xlpm._numbers_row_available, _xlfn.LET(
        _xlpm._tmp, _xlfn._xlws.SORT(
            _xlfn.UNIQUE(
                _xlfn.SEQUENCE(ROWS(_xlpm._W_input)) *
                    (LEN(TRIM(_xlpm._W_input)) &gt; 0)
            )
        ),
        IF(
            ROWS(_xlpm._tmp) = 1,
            IF(_xlpm._tmp = 0, NA(), _xlpm._tmp),
            _xlfn.UNIQUE(IF(_xlpm._tmp = 0, INDEX(_xlpm._tmp, 2), _xlpm._tmp))
        )
    ),
    _xlpm._C_W, IF(
        ISNA(_xlpm._numbers_row_available),
        {""},
        _xlfn.LET(
            _xlpm._W, _xlfn.CHOOSEROWS(
                _xlpm._W_input,
                _xlpm._numbers_row_available
            ),
            _xlpm._W * _xlpm._rho ^ -1 * _xlpm._N_r ^ -3 * _xlpm._D ^ -5
        )
    ),
    _xlpm._C_W
)</f>
        <v>8.6487099603718936E-5</v>
      </c>
    </row>
    <row r="12" spans="1:53" ht="20.25" customHeight="1">
      <c r="E12" s="31">
        <v>0.20156210629629631</v>
      </c>
      <c r="F12" s="31">
        <v>5.3895567500253021</v>
      </c>
      <c r="I12" s="31">
        <v>8.2457225308641968E-2</v>
      </c>
      <c r="J12" s="31">
        <v>5.3953488370000004E-2</v>
      </c>
      <c r="M12" s="31">
        <v>0.15575253666666669</v>
      </c>
      <c r="N12" s="31">
        <v>9.4994027434842259E-5</v>
      </c>
      <c r="Y12" s="31">
        <v>163.2653061</v>
      </c>
      <c r="Z12" s="31">
        <v>436.55409675204953</v>
      </c>
      <c r="AC12" s="31">
        <v>66.790352499999997</v>
      </c>
      <c r="AD12" s="31">
        <v>5.3953488370000004E-2</v>
      </c>
      <c r="AG12" s="31">
        <v>126.15955470000002</v>
      </c>
      <c r="AH12" s="31">
        <v>6.2325581400000001</v>
      </c>
      <c r="AR12" s="31">
        <v>0.20156210629629631</v>
      </c>
      <c r="AS12" s="31">
        <v>5.3895567500253021</v>
      </c>
      <c r="AV12" s="31">
        <v>8.2457225308641968E-2</v>
      </c>
      <c r="AW12" s="31">
        <v>5.3953488370000004E-2</v>
      </c>
      <c r="AZ12" s="31">
        <v>0.15575253666666669</v>
      </c>
      <c r="BA12" s="31">
        <v>9.4994027434842259E-5</v>
      </c>
    </row>
    <row r="13" spans="1:53" ht="20.25" customHeight="1">
      <c r="E13" s="31">
        <v>0.40312421259259262</v>
      </c>
      <c r="F13" s="31">
        <v>5.3672397457240235</v>
      </c>
      <c r="I13" s="31">
        <v>0.15575253666666669</v>
      </c>
      <c r="J13" s="31">
        <v>0.1023255814</v>
      </c>
      <c r="M13" s="31">
        <v>0.32982890123456787</v>
      </c>
      <c r="N13" s="31">
        <v>1.0917224048163389E-4</v>
      </c>
      <c r="Y13" s="31">
        <v>326.53061220000001</v>
      </c>
      <c r="Z13" s="31">
        <v>434.74641940364597</v>
      </c>
      <c r="AC13" s="31">
        <v>126.15955470000002</v>
      </c>
      <c r="AD13" s="31">
        <v>0.1023255814</v>
      </c>
      <c r="AG13" s="31">
        <v>267.16140999999999</v>
      </c>
      <c r="AH13" s="31">
        <v>7.1627906980000002</v>
      </c>
      <c r="AR13" s="31">
        <v>0.40312421259259262</v>
      </c>
      <c r="AS13" s="31">
        <v>5.3672397457240235</v>
      </c>
      <c r="AV13" s="31">
        <v>0.15575253666666669</v>
      </c>
      <c r="AW13" s="31">
        <v>0.1023255814</v>
      </c>
      <c r="AZ13" s="31">
        <v>0.32982890123456787</v>
      </c>
      <c r="BA13" s="31">
        <v>1.0917224048163389E-4</v>
      </c>
    </row>
    <row r="14" spans="1:53" ht="20.25" customHeight="1">
      <c r="E14" s="31">
        <v>0.59552440506172843</v>
      </c>
      <c r="F14" s="31">
        <v>5.3783982472693141</v>
      </c>
      <c r="I14" s="31">
        <v>0.22904784814814819</v>
      </c>
      <c r="J14" s="31">
        <v>0.1451162791</v>
      </c>
      <c r="M14" s="31">
        <v>0.47641952407407406</v>
      </c>
      <c r="N14" s="31">
        <v>1.1626134700502971E-4</v>
      </c>
      <c r="Y14" s="31">
        <v>482.37476810000004</v>
      </c>
      <c r="Z14" s="31">
        <v>435.65025802881445</v>
      </c>
      <c r="AC14" s="31">
        <v>185.52875700000001</v>
      </c>
      <c r="AD14" s="31">
        <v>0.1451162791</v>
      </c>
      <c r="AG14" s="31">
        <v>385.89981449999999</v>
      </c>
      <c r="AH14" s="31">
        <v>7.6279069770000003</v>
      </c>
      <c r="AR14" s="31">
        <v>0.59552440506172843</v>
      </c>
      <c r="AS14" s="31">
        <v>5.3783982472693141</v>
      </c>
      <c r="AV14" s="31">
        <v>0.22904784814814819</v>
      </c>
      <c r="AW14" s="31">
        <v>0.1451162791</v>
      </c>
      <c r="AZ14" s="31">
        <v>0.47641952407407406</v>
      </c>
      <c r="BA14" s="31">
        <v>1.1626134700502971E-4</v>
      </c>
    </row>
    <row r="15" spans="1:53" ht="20.25" customHeight="1">
      <c r="E15" s="31">
        <v>0.82457225308641968</v>
      </c>
      <c r="F15" s="31">
        <v>5.3226057347000735</v>
      </c>
      <c r="I15" s="31">
        <v>0.29318124555555558</v>
      </c>
      <c r="J15" s="31">
        <v>0.18790697670000001</v>
      </c>
      <c r="M15" s="31">
        <v>0.65049588864197538</v>
      </c>
      <c r="N15" s="31">
        <v>1.3327520266727635E-4</v>
      </c>
      <c r="Y15" s="31">
        <v>667.90352499999995</v>
      </c>
      <c r="Z15" s="31">
        <v>431.13106451070598</v>
      </c>
      <c r="AC15" s="31">
        <v>237.47680890000001</v>
      </c>
      <c r="AD15" s="31">
        <v>0.18790697670000001</v>
      </c>
      <c r="AG15" s="31">
        <v>526.90166980000004</v>
      </c>
      <c r="AH15" s="31">
        <v>8.7441860469999995</v>
      </c>
      <c r="AR15" s="31">
        <v>0.82457225308641968</v>
      </c>
      <c r="AS15" s="31">
        <v>5.3226057347000735</v>
      </c>
      <c r="AV15" s="31">
        <v>0.29318124555555558</v>
      </c>
      <c r="AW15" s="31">
        <v>0.18790697670000001</v>
      </c>
      <c r="AZ15" s="31">
        <v>0.65049588864197538</v>
      </c>
      <c r="BA15" s="31">
        <v>1.3327520266727635E-4</v>
      </c>
    </row>
    <row r="16" spans="1:53" ht="20.25" customHeight="1">
      <c r="E16" s="31">
        <v>1.0169724455555555</v>
      </c>
      <c r="F16" s="31">
        <v>5.2668132221308346</v>
      </c>
      <c r="I16" s="31">
        <v>0.3756384708641976</v>
      </c>
      <c r="J16" s="31">
        <v>0.23255813950000001</v>
      </c>
      <c r="M16" s="31">
        <v>0.83373416703703696</v>
      </c>
      <c r="N16" s="31">
        <v>1.4887123700655389E-4</v>
      </c>
      <c r="Y16" s="31">
        <v>823.74768089999998</v>
      </c>
      <c r="Z16" s="31">
        <v>426.61187099259752</v>
      </c>
      <c r="AC16" s="31">
        <v>304.26716140000002</v>
      </c>
      <c r="AD16" s="31">
        <v>0.23255813950000001</v>
      </c>
      <c r="AG16" s="31">
        <v>675.32467529999997</v>
      </c>
      <c r="AH16" s="31">
        <v>9.7674418599999999</v>
      </c>
      <c r="AR16" s="31">
        <v>1.0169724455555555</v>
      </c>
      <c r="AS16" s="31">
        <v>5.2668132221308346</v>
      </c>
      <c r="AV16" s="31">
        <v>0.3756384708641976</v>
      </c>
      <c r="AW16" s="31">
        <v>0.23255813950000001</v>
      </c>
      <c r="AZ16" s="31">
        <v>0.83373416703703696</v>
      </c>
      <c r="BA16" s="31">
        <v>1.4887123700655389E-4</v>
      </c>
    </row>
    <row r="17" spans="5:53" ht="20.25" customHeight="1">
      <c r="E17" s="31">
        <v>1.1544011544444444</v>
      </c>
      <c r="F17" s="31">
        <v>5.2221792111068828</v>
      </c>
      <c r="I17" s="31">
        <v>0.46725761012345685</v>
      </c>
      <c r="J17" s="31">
        <v>0.2958139535</v>
      </c>
      <c r="M17" s="31">
        <v>1.0078105316049382</v>
      </c>
      <c r="N17" s="31">
        <v>1.630494500838287E-4</v>
      </c>
      <c r="Y17" s="31">
        <v>935.06493509999996</v>
      </c>
      <c r="Z17" s="31">
        <v>422.99651609965753</v>
      </c>
      <c r="AC17" s="31">
        <v>378.47866420000003</v>
      </c>
      <c r="AD17" s="31">
        <v>0.2958139535</v>
      </c>
      <c r="AG17" s="31">
        <v>816.32653059999996</v>
      </c>
      <c r="AH17" s="31">
        <v>10.69767442</v>
      </c>
      <c r="AR17" s="31">
        <v>1.1544011544444444</v>
      </c>
      <c r="AS17" s="31">
        <v>5.2221792111068828</v>
      </c>
      <c r="AV17" s="31">
        <v>0.46725761012345685</v>
      </c>
      <c r="AW17" s="31">
        <v>0.2958139535</v>
      </c>
      <c r="AZ17" s="31">
        <v>1.0078105316049382</v>
      </c>
      <c r="BA17" s="31">
        <v>1.630494500838287E-4</v>
      </c>
    </row>
    <row r="18" spans="5:53" ht="20.25" customHeight="1">
      <c r="E18" s="31">
        <v>1.291829862962963</v>
      </c>
      <c r="F18" s="31">
        <v>5.1775452012936292</v>
      </c>
      <c r="I18" s="31">
        <v>0.59552440506172843</v>
      </c>
      <c r="J18" s="31">
        <v>0.36465116279999998</v>
      </c>
      <c r="M18" s="31">
        <v>1.2093726379012346</v>
      </c>
      <c r="N18" s="31">
        <v>1.7722766316110352E-4</v>
      </c>
      <c r="Y18" s="31">
        <v>1046.3821889999999</v>
      </c>
      <c r="Z18" s="31">
        <v>419.38116130478397</v>
      </c>
      <c r="AC18" s="31">
        <v>482.37476810000004</v>
      </c>
      <c r="AD18" s="31">
        <v>0.36465116279999998</v>
      </c>
      <c r="AG18" s="31">
        <v>979.59183670000004</v>
      </c>
      <c r="AH18" s="31">
        <v>11.627906980000001</v>
      </c>
      <c r="AR18" s="31">
        <v>1.291829862962963</v>
      </c>
      <c r="AS18" s="31">
        <v>5.1775452012936292</v>
      </c>
      <c r="AV18" s="31">
        <v>0.59552440506172843</v>
      </c>
      <c r="AW18" s="31">
        <v>0.36465116279999998</v>
      </c>
      <c r="AZ18" s="31">
        <v>1.2093726379012346</v>
      </c>
      <c r="BA18" s="31">
        <v>1.7722766316110352E-4</v>
      </c>
    </row>
    <row r="19" spans="5:53" ht="20.25" customHeight="1">
      <c r="E19" s="31">
        <v>1.4567443135802469</v>
      </c>
      <c r="F19" s="31">
        <v>5.0882771804564246</v>
      </c>
      <c r="I19" s="31">
        <v>0.71462928604938281</v>
      </c>
      <c r="J19" s="31">
        <v>0.41860465120000001</v>
      </c>
      <c r="M19" s="31">
        <v>1.3651251740740742</v>
      </c>
      <c r="N19" s="31">
        <v>1.9282369745465632E-4</v>
      </c>
      <c r="Y19" s="31">
        <v>1179.962894</v>
      </c>
      <c r="Z19" s="31">
        <v>412.15045161697043</v>
      </c>
      <c r="AC19" s="31">
        <v>578.84972170000003</v>
      </c>
      <c r="AD19" s="31">
        <v>0.41860465120000001</v>
      </c>
      <c r="AG19" s="31">
        <v>1105.751391</v>
      </c>
      <c r="AH19" s="31">
        <v>12.651162790000001</v>
      </c>
      <c r="AR19" s="31">
        <v>1.4567443135802469</v>
      </c>
      <c r="AS19" s="31">
        <v>5.0882771804564246</v>
      </c>
      <c r="AV19" s="31">
        <v>0.71462928604938281</v>
      </c>
      <c r="AW19" s="31">
        <v>0.41860465120000001</v>
      </c>
      <c r="AZ19" s="31">
        <v>1.3651251740740742</v>
      </c>
      <c r="BA19" s="31">
        <v>1.9282369745465632E-4</v>
      </c>
    </row>
    <row r="20" spans="5:53" ht="20.25" customHeight="1">
      <c r="E20" s="31">
        <v>1.6674683345679011</v>
      </c>
      <c r="F20" s="31">
        <v>4.9878506568632339</v>
      </c>
      <c r="I20" s="31">
        <v>0.86121990888888922</v>
      </c>
      <c r="J20" s="31">
        <v>0.48930232560000003</v>
      </c>
      <c r="M20" s="31">
        <v>1.5666872814814814</v>
      </c>
      <c r="N20" s="31">
        <v>2.0558408916323732E-4</v>
      </c>
      <c r="Y20" s="31">
        <v>1350.649351</v>
      </c>
      <c r="Z20" s="31">
        <v>404.01590320592197</v>
      </c>
      <c r="AC20" s="31">
        <v>697.58812620000015</v>
      </c>
      <c r="AD20" s="31">
        <v>0.48930232560000003</v>
      </c>
      <c r="AG20" s="31">
        <v>1269.0166979999999</v>
      </c>
      <c r="AH20" s="31">
        <v>13.48837209</v>
      </c>
      <c r="AR20" s="31">
        <v>1.6674683345679011</v>
      </c>
      <c r="AS20" s="31">
        <v>4.9878506568632339</v>
      </c>
      <c r="AV20" s="31">
        <v>0.86121990888888922</v>
      </c>
      <c r="AW20" s="31">
        <v>0.48930232560000003</v>
      </c>
      <c r="AZ20" s="31">
        <v>1.5666872814814814</v>
      </c>
      <c r="BA20" s="31">
        <v>2.0558408916323732E-4</v>
      </c>
    </row>
    <row r="21" spans="5:53" ht="20.25" customHeight="1">
      <c r="E21" s="31">
        <v>1.8873542679012347</v>
      </c>
      <c r="F21" s="31">
        <v>4.8539486262127767</v>
      </c>
      <c r="I21" s="31">
        <v>0.94367713419753085</v>
      </c>
      <c r="J21" s="31">
        <v>0.51906976739999999</v>
      </c>
      <c r="M21" s="31">
        <v>1.804897043209877</v>
      </c>
      <c r="N21" s="31">
        <v>2.2259794482548388E-4</v>
      </c>
      <c r="Y21" s="31">
        <v>1528.7569570000001</v>
      </c>
      <c r="Z21" s="31">
        <v>393.16983872323493</v>
      </c>
      <c r="AC21" s="31">
        <v>764.37847869999996</v>
      </c>
      <c r="AD21" s="31">
        <v>0.51906976739999999</v>
      </c>
      <c r="AG21" s="31">
        <v>1461.9666050000003</v>
      </c>
      <c r="AH21" s="31">
        <v>14.60465116</v>
      </c>
      <c r="AR21" s="31">
        <v>1.8873542679012347</v>
      </c>
      <c r="AS21" s="31">
        <v>4.8539486262127767</v>
      </c>
      <c r="AV21" s="31">
        <v>0.94367713419753085</v>
      </c>
      <c r="AW21" s="31">
        <v>0.51906976739999999</v>
      </c>
      <c r="AZ21" s="31">
        <v>1.804897043209877</v>
      </c>
      <c r="BA21" s="31">
        <v>2.2259794482548388E-4</v>
      </c>
    </row>
    <row r="22" spans="5:53" ht="20.25" customHeight="1">
      <c r="E22" s="31">
        <v>2.1255640308641981</v>
      </c>
      <c r="F22" s="31">
        <v>4.7200465955623203</v>
      </c>
      <c r="I22" s="31">
        <v>1.0261343595061732</v>
      </c>
      <c r="J22" s="31">
        <v>0.54139534879999995</v>
      </c>
      <c r="M22" s="31">
        <v>2.0156210629629632</v>
      </c>
      <c r="N22" s="31">
        <v>2.3819397927145254E-4</v>
      </c>
      <c r="Y22" s="31">
        <v>1721.7068650000003</v>
      </c>
      <c r="Z22" s="31">
        <v>382.32377424054795</v>
      </c>
      <c r="AC22" s="31">
        <v>831.16883120000011</v>
      </c>
      <c r="AD22" s="31">
        <v>0.54139534879999995</v>
      </c>
      <c r="AG22" s="31">
        <v>1632.653061</v>
      </c>
      <c r="AH22" s="31">
        <v>15.627906980000001</v>
      </c>
      <c r="AR22" s="31">
        <v>2.1255640308641981</v>
      </c>
      <c r="AS22" s="31">
        <v>4.7200465955623203</v>
      </c>
      <c r="AV22" s="31">
        <v>1.0261343595061732</v>
      </c>
      <c r="AW22" s="31">
        <v>0.54139534879999995</v>
      </c>
      <c r="AZ22" s="31">
        <v>2.0156210629629632</v>
      </c>
      <c r="BA22" s="31">
        <v>2.3819397927145254E-4</v>
      </c>
    </row>
    <row r="23" spans="5:53" ht="20.25" customHeight="1">
      <c r="E23" s="31">
        <v>2.3088023086419751</v>
      </c>
      <c r="F23" s="31">
        <v>4.5973030664571546</v>
      </c>
      <c r="I23" s="31">
        <v>1.0994296708641975</v>
      </c>
      <c r="J23" s="31">
        <v>0.56186046509999998</v>
      </c>
      <c r="M23" s="31">
        <v>2.2263450839506174</v>
      </c>
      <c r="N23" s="31">
        <v>2.5520783493369908E-4</v>
      </c>
      <c r="Y23" s="31">
        <v>1870.12987</v>
      </c>
      <c r="Z23" s="31">
        <v>372.38154838302955</v>
      </c>
      <c r="AC23" s="31">
        <v>890.53803340000002</v>
      </c>
      <c r="AD23" s="31">
        <v>0.56186046509999998</v>
      </c>
      <c r="AG23" s="31">
        <v>1803.339518</v>
      </c>
      <c r="AH23" s="31">
        <v>16.74418605</v>
      </c>
      <c r="AR23" s="31">
        <v>2.3088023086419751</v>
      </c>
      <c r="AS23" s="31">
        <v>4.5973030664571546</v>
      </c>
      <c r="AV23" s="31">
        <v>1.0994296708641975</v>
      </c>
      <c r="AW23" s="31">
        <v>0.56186046509999998</v>
      </c>
      <c r="AZ23" s="31">
        <v>2.2263450839506174</v>
      </c>
      <c r="BA23" s="31">
        <v>2.5520783493369908E-4</v>
      </c>
    </row>
    <row r="24" spans="5:53" ht="20.25" customHeight="1">
      <c r="E24" s="31">
        <v>2.5470120703703705</v>
      </c>
      <c r="F24" s="31">
        <v>4.4857180401079759</v>
      </c>
      <c r="I24" s="31">
        <v>1.1727249822222223</v>
      </c>
      <c r="J24" s="31">
        <v>0.58046511629999997</v>
      </c>
      <c r="M24" s="31">
        <v>2.4279071901234568</v>
      </c>
      <c r="N24" s="31">
        <v>2.6371476268861459E-4</v>
      </c>
      <c r="Y24" s="31">
        <v>2063.0797769999999</v>
      </c>
      <c r="Z24" s="31">
        <v>363.34316124874601</v>
      </c>
      <c r="AC24" s="31">
        <v>949.90723560000004</v>
      </c>
      <c r="AD24" s="31">
        <v>0.58046511629999997</v>
      </c>
      <c r="AG24" s="31">
        <v>1966.604824</v>
      </c>
      <c r="AH24" s="31">
        <v>17.302325580000002</v>
      </c>
      <c r="AR24" s="31">
        <v>2.5470120703703705</v>
      </c>
      <c r="AS24" s="31">
        <v>4.4857180401079759</v>
      </c>
      <c r="AV24" s="31">
        <v>1.1727249822222223</v>
      </c>
      <c r="AW24" s="31">
        <v>0.58046511629999997</v>
      </c>
      <c r="AZ24" s="31">
        <v>2.4279071901234568</v>
      </c>
      <c r="BA24" s="31">
        <v>2.6371476268861459E-4</v>
      </c>
    </row>
    <row r="25" spans="5:53" ht="20.25" customHeight="1">
      <c r="E25" s="31">
        <v>2.7302503493827155</v>
      </c>
      <c r="F25" s="31">
        <v>4.3518160094575196</v>
      </c>
      <c r="I25" s="31">
        <v>1.2643441209876543</v>
      </c>
      <c r="J25" s="31">
        <v>0.59534883720000009</v>
      </c>
      <c r="M25" s="31">
        <v>2.6661169518518517</v>
      </c>
      <c r="N25" s="31">
        <v>2.7647515439719553E-4</v>
      </c>
      <c r="Y25" s="31">
        <v>2211.5027829999999</v>
      </c>
      <c r="Z25" s="31">
        <v>352.49709676605903</v>
      </c>
      <c r="AC25" s="31">
        <v>1024.1187379999999</v>
      </c>
      <c r="AD25" s="31">
        <v>0.59534883720000009</v>
      </c>
      <c r="AG25" s="31">
        <v>2159.5547310000002</v>
      </c>
      <c r="AH25" s="31">
        <v>18.139534879999999</v>
      </c>
      <c r="AR25" s="31">
        <v>2.7302503493827155</v>
      </c>
      <c r="AS25" s="31">
        <v>4.3518160094575196</v>
      </c>
      <c r="AV25" s="31">
        <v>1.2643441209876543</v>
      </c>
      <c r="AW25" s="31">
        <v>0.59534883720000009</v>
      </c>
      <c r="AZ25" s="31">
        <v>2.6661169518518517</v>
      </c>
      <c r="BA25" s="31">
        <v>2.7647515439719553E-4</v>
      </c>
    </row>
    <row r="26" spans="5:53" ht="20.25" customHeight="1">
      <c r="E26" s="31">
        <v>2.9684601111111117</v>
      </c>
      <c r="F26" s="31">
        <v>4.1844384705390993</v>
      </c>
      <c r="I26" s="31">
        <v>1.4017728308641977</v>
      </c>
      <c r="J26" s="31">
        <v>0.60651162790000002</v>
      </c>
      <c r="M26" s="31">
        <v>2.8676790580246916</v>
      </c>
      <c r="N26" s="31">
        <v>2.8639990352080478E-4</v>
      </c>
      <c r="Y26" s="31">
        <v>2404.4526900000001</v>
      </c>
      <c r="Z26" s="31">
        <v>338.93951611366703</v>
      </c>
      <c r="AC26" s="31">
        <v>1135.4359930000001</v>
      </c>
      <c r="AD26" s="31">
        <v>0.60651162790000002</v>
      </c>
      <c r="AG26" s="31">
        <v>2322.820037</v>
      </c>
      <c r="AH26" s="31">
        <v>18.79069767</v>
      </c>
      <c r="AR26" s="31">
        <v>2.9684601111111117</v>
      </c>
      <c r="AS26" s="31">
        <v>4.1844384705390993</v>
      </c>
      <c r="AV26" s="31">
        <v>1.4017728308641977</v>
      </c>
      <c r="AW26" s="31">
        <v>0.60651162790000002</v>
      </c>
      <c r="AZ26" s="31">
        <v>2.8676790580246916</v>
      </c>
      <c r="BA26" s="31">
        <v>2.8639990352080478E-4</v>
      </c>
    </row>
    <row r="27" spans="5:53" ht="20.25" customHeight="1">
      <c r="E27" s="31">
        <v>3.2341556148148149</v>
      </c>
      <c r="F27" s="31">
        <v>4.01706093162068</v>
      </c>
      <c r="I27" s="31">
        <v>1.5575253666666666</v>
      </c>
      <c r="J27" s="31">
        <v>0.62883720930000009</v>
      </c>
      <c r="M27" s="31">
        <v>3.0417554222222223</v>
      </c>
      <c r="N27" s="31">
        <v>2.9065336747447038E-4</v>
      </c>
      <c r="Y27" s="31">
        <v>2619.666048</v>
      </c>
      <c r="Z27" s="31">
        <v>325.38193546127502</v>
      </c>
      <c r="AC27" s="31">
        <v>1261.5955469999999</v>
      </c>
      <c r="AD27" s="31">
        <v>0.62883720930000009</v>
      </c>
      <c r="AG27" s="31">
        <v>2463.8218919999999</v>
      </c>
      <c r="AH27" s="31">
        <v>19.06976744</v>
      </c>
      <c r="AR27" s="31">
        <v>3.2341556148148149</v>
      </c>
      <c r="AS27" s="31">
        <v>4.01706093162068</v>
      </c>
      <c r="AV27" s="31">
        <v>1.5575253666666666</v>
      </c>
      <c r="AW27" s="31">
        <v>0.62883720930000009</v>
      </c>
      <c r="AZ27" s="31">
        <v>3.0417554222222223</v>
      </c>
      <c r="BA27" s="31">
        <v>2.9065336747447038E-4</v>
      </c>
    </row>
    <row r="28" spans="5:53" ht="20.25" customHeight="1">
      <c r="E28" s="31">
        <v>3.4723653765432103</v>
      </c>
      <c r="F28" s="31">
        <v>3.8720003982142344</v>
      </c>
      <c r="I28" s="31">
        <v>1.7224398172839508</v>
      </c>
      <c r="J28" s="31">
        <v>0.63627906980000004</v>
      </c>
      <c r="M28" s="31">
        <v>3.197507959259259</v>
      </c>
      <c r="N28" s="31">
        <v>3.0199593796677337E-4</v>
      </c>
      <c r="Y28" s="31">
        <v>2812.6159550000002</v>
      </c>
      <c r="Z28" s="31">
        <v>313.63203225535301</v>
      </c>
      <c r="AC28" s="31">
        <v>1395.176252</v>
      </c>
      <c r="AD28" s="31">
        <v>0.63627906980000004</v>
      </c>
      <c r="AG28" s="31">
        <v>2589.9814470000001</v>
      </c>
      <c r="AH28" s="31">
        <v>19.813953489999999</v>
      </c>
      <c r="AR28" s="31">
        <v>3.4723653765432103</v>
      </c>
      <c r="AS28" s="31">
        <v>3.8720003982142344</v>
      </c>
      <c r="AV28" s="31">
        <v>1.7224398172839508</v>
      </c>
      <c r="AW28" s="31">
        <v>0.63627906980000004</v>
      </c>
      <c r="AZ28" s="31">
        <v>3.197507959259259</v>
      </c>
      <c r="BA28" s="31">
        <v>3.0199593796677337E-4</v>
      </c>
    </row>
    <row r="29" spans="5:53" ht="20.25" customHeight="1">
      <c r="E29" s="31">
        <v>3.6464417419753086</v>
      </c>
      <c r="F29" s="31">
        <v>3.7604153718650557</v>
      </c>
      <c r="I29" s="31">
        <v>1.8781923543209877</v>
      </c>
      <c r="J29" s="31">
        <v>0.65302325579999998</v>
      </c>
      <c r="M29" s="31">
        <v>3.3349366679012347</v>
      </c>
      <c r="N29" s="31">
        <v>3.0624940192043891E-4</v>
      </c>
      <c r="Y29" s="31">
        <v>2953.6178110000001</v>
      </c>
      <c r="Z29" s="31">
        <v>304.59364512106953</v>
      </c>
      <c r="AC29" s="31">
        <v>1521.3358069999999</v>
      </c>
      <c r="AD29" s="31">
        <v>0.65302325579999998</v>
      </c>
      <c r="AG29" s="31">
        <v>2701.2987010000002</v>
      </c>
      <c r="AH29" s="31">
        <v>20.093023259999999</v>
      </c>
      <c r="AR29" s="31">
        <v>3.6464417419753086</v>
      </c>
      <c r="AS29" s="31">
        <v>3.7604153718650557</v>
      </c>
      <c r="AV29" s="31">
        <v>1.8781923543209877</v>
      </c>
      <c r="AW29" s="31">
        <v>0.65302325579999998</v>
      </c>
      <c r="AZ29" s="31">
        <v>3.3349366679012347</v>
      </c>
      <c r="BA29" s="31">
        <v>3.0624940192043891E-4</v>
      </c>
    </row>
    <row r="30" spans="5:53" ht="20.25" customHeight="1">
      <c r="E30" s="31">
        <v>3.7930323641975305</v>
      </c>
      <c r="F30" s="31">
        <v>3.6376718439705855</v>
      </c>
      <c r="I30" s="31">
        <v>2.0797544604938274</v>
      </c>
      <c r="J30" s="31">
        <v>0.66790697669999999</v>
      </c>
      <c r="M30" s="31">
        <v>3.4723653765432103</v>
      </c>
      <c r="N30" s="31">
        <v>3.0908504450541076E-4</v>
      </c>
      <c r="Y30" s="31">
        <v>3072.3562149999998</v>
      </c>
      <c r="Z30" s="31">
        <v>294.65141936161746</v>
      </c>
      <c r="AC30" s="31">
        <v>1684.6011129999999</v>
      </c>
      <c r="AD30" s="31">
        <v>0.66790697669999999</v>
      </c>
      <c r="AG30" s="31">
        <v>2812.6159550000002</v>
      </c>
      <c r="AH30" s="31">
        <v>20.27906977</v>
      </c>
      <c r="AR30" s="31">
        <v>3.7930323641975305</v>
      </c>
      <c r="AS30" s="31">
        <v>3.6376718439705855</v>
      </c>
      <c r="AV30" s="31">
        <v>2.0797544604938274</v>
      </c>
      <c r="AW30" s="31">
        <v>0.66790697669999999</v>
      </c>
      <c r="AZ30" s="31">
        <v>3.4723653765432103</v>
      </c>
      <c r="BA30" s="31">
        <v>3.0908504450541076E-4</v>
      </c>
    </row>
    <row r="31" spans="5:53" ht="20.25" customHeight="1">
      <c r="E31" s="31">
        <v>3.9396229876543205</v>
      </c>
      <c r="F31" s="31">
        <v>3.5260868176214069</v>
      </c>
      <c r="I31" s="31">
        <v>2.2629927395061733</v>
      </c>
      <c r="J31" s="31">
        <v>0.68093023259999996</v>
      </c>
      <c r="M31" s="31">
        <v>3.6556036555555562</v>
      </c>
      <c r="N31" s="31">
        <v>3.1475632967535436E-4</v>
      </c>
      <c r="Y31" s="31">
        <v>3191.0946199999998</v>
      </c>
      <c r="Z31" s="31">
        <v>285.61303222733397</v>
      </c>
      <c r="AC31" s="31">
        <v>1833.0241190000002</v>
      </c>
      <c r="AD31" s="31">
        <v>0.68093023259999996</v>
      </c>
      <c r="AG31" s="31">
        <v>2961.0389610000002</v>
      </c>
      <c r="AH31" s="31">
        <v>20.651162790000001</v>
      </c>
      <c r="AR31" s="31">
        <v>3.9396229876543205</v>
      </c>
      <c r="AS31" s="31">
        <v>3.5260868176214069</v>
      </c>
      <c r="AV31" s="31">
        <v>2.2629927395061733</v>
      </c>
      <c r="AW31" s="31">
        <v>0.68093023259999996</v>
      </c>
      <c r="AZ31" s="31">
        <v>3.6556036555555562</v>
      </c>
      <c r="BA31" s="31">
        <v>3.1475632967535436E-4</v>
      </c>
    </row>
    <row r="32" spans="5:53" ht="20.25" customHeight="1">
      <c r="E32" s="31">
        <v>4.150347007407408</v>
      </c>
      <c r="F32" s="31">
        <v>3.4033432897269384</v>
      </c>
      <c r="I32" s="31">
        <v>2.4370691037037036</v>
      </c>
      <c r="J32" s="31">
        <v>0.68837209300000002</v>
      </c>
      <c r="M32" s="31">
        <v>3.848003848148148</v>
      </c>
      <c r="N32" s="31">
        <v>3.2042761484529797E-4</v>
      </c>
      <c r="Y32" s="31">
        <v>3361.7810760000002</v>
      </c>
      <c r="Z32" s="31">
        <v>275.67080646788202</v>
      </c>
      <c r="AC32" s="31">
        <v>1974.0259739999999</v>
      </c>
      <c r="AD32" s="31">
        <v>0.68837209300000002</v>
      </c>
      <c r="AG32" s="31">
        <v>3116.8831169999999</v>
      </c>
      <c r="AH32" s="31">
        <v>21.023255809999998</v>
      </c>
      <c r="AR32" s="31">
        <v>4.150347007407408</v>
      </c>
      <c r="AS32" s="31">
        <v>3.4033432897269384</v>
      </c>
      <c r="AV32" s="31">
        <v>2.4370691037037036</v>
      </c>
      <c r="AW32" s="31">
        <v>0.68837209300000002</v>
      </c>
      <c r="AZ32" s="31">
        <v>3.848003848148148</v>
      </c>
      <c r="BA32" s="31">
        <v>3.2042761484529797E-4</v>
      </c>
    </row>
    <row r="33" spans="5:53" ht="20.25" customHeight="1">
      <c r="E33" s="31">
        <v>4.2786138024691365</v>
      </c>
      <c r="F33" s="31">
        <v>3.2694412578657834</v>
      </c>
      <c r="I33" s="31">
        <v>2.6294692962962967</v>
      </c>
      <c r="J33" s="31">
        <v>0.69395348839999993</v>
      </c>
      <c r="M33" s="31">
        <v>4.0587278679012355</v>
      </c>
      <c r="N33" s="31">
        <v>3.2468107879896361E-4</v>
      </c>
      <c r="Y33" s="31">
        <v>3465.6771800000001</v>
      </c>
      <c r="Z33" s="31">
        <v>264.82474188712848</v>
      </c>
      <c r="AC33" s="31">
        <v>2129.8701300000002</v>
      </c>
      <c r="AD33" s="31">
        <v>0.69395348839999993</v>
      </c>
      <c r="AG33" s="31">
        <v>3287.5695730000002</v>
      </c>
      <c r="AH33" s="31">
        <v>21.302325580000002</v>
      </c>
      <c r="AR33" s="31">
        <v>4.2786138024691365</v>
      </c>
      <c r="AS33" s="31">
        <v>3.2694412578657834</v>
      </c>
      <c r="AV33" s="31">
        <v>2.6294692962962967</v>
      </c>
      <c r="AW33" s="31">
        <v>0.69395348839999993</v>
      </c>
      <c r="AZ33" s="31">
        <v>4.0587278679012355</v>
      </c>
      <c r="BA33" s="31">
        <v>3.2468107879896361E-4</v>
      </c>
    </row>
    <row r="34" spans="5:53" ht="20.25" customHeight="1">
      <c r="E34" s="31">
        <v>4.406880597530864</v>
      </c>
      <c r="F34" s="31">
        <v>3.1355392272153266</v>
      </c>
      <c r="I34" s="31">
        <v>2.8401933160493833</v>
      </c>
      <c r="J34" s="31">
        <v>0.70697674420000001</v>
      </c>
      <c r="M34" s="31">
        <v>4.296937630864198</v>
      </c>
      <c r="N34" s="31">
        <v>3.2751672138393536E-4</v>
      </c>
      <c r="Y34" s="31">
        <v>3569.5732840000001</v>
      </c>
      <c r="Z34" s="31">
        <v>253.9786774044415</v>
      </c>
      <c r="AC34" s="31">
        <v>2300.5565860000002</v>
      </c>
      <c r="AD34" s="31">
        <v>0.70697674420000001</v>
      </c>
      <c r="AG34" s="31">
        <v>3480.5194809999998</v>
      </c>
      <c r="AH34" s="31">
        <v>21.488372089999999</v>
      </c>
      <c r="AR34" s="31">
        <v>4.406880597530864</v>
      </c>
      <c r="AS34" s="31">
        <v>3.1355392272153266</v>
      </c>
      <c r="AV34" s="31">
        <v>2.8401933160493833</v>
      </c>
      <c r="AW34" s="31">
        <v>0.70697674420000001</v>
      </c>
      <c r="AZ34" s="31">
        <v>4.296937630864198</v>
      </c>
      <c r="BA34" s="31">
        <v>3.2751672138393536E-4</v>
      </c>
    </row>
    <row r="35" spans="5:53" ht="20.25" customHeight="1">
      <c r="E35" s="31">
        <v>4.5717950481481484</v>
      </c>
      <c r="F35" s="31">
        <v>2.9793201910528953</v>
      </c>
      <c r="I35" s="31">
        <v>3.0417554222222223</v>
      </c>
      <c r="J35" s="31">
        <v>0.71069767440000009</v>
      </c>
      <c r="M35" s="31">
        <v>4.4984997370370365</v>
      </c>
      <c r="N35" s="31">
        <v>3.3177018533760101E-4</v>
      </c>
      <c r="Y35" s="31">
        <v>3703.1539889999999</v>
      </c>
      <c r="Z35" s="31">
        <v>241.32493547528449</v>
      </c>
      <c r="AC35" s="31">
        <v>2463.8218919999999</v>
      </c>
      <c r="AD35" s="31">
        <v>0.71069767440000009</v>
      </c>
      <c r="AG35" s="31">
        <v>3643.7847870000001</v>
      </c>
      <c r="AH35" s="31">
        <v>21.767441860000002</v>
      </c>
      <c r="AR35" s="31">
        <v>4.5717950481481484</v>
      </c>
      <c r="AS35" s="31">
        <v>2.9793201910528953</v>
      </c>
      <c r="AV35" s="31">
        <v>3.0417554222222223</v>
      </c>
      <c r="AW35" s="31">
        <v>0.71069767440000009</v>
      </c>
      <c r="AZ35" s="31">
        <v>4.4984997370370365</v>
      </c>
      <c r="BA35" s="31">
        <v>3.3177018533760101E-4</v>
      </c>
    </row>
    <row r="36" spans="5:53" ht="20.25" customHeight="1">
      <c r="E36" s="31">
        <v>4.7367094987654328</v>
      </c>
      <c r="F36" s="31">
        <v>2.823101154890463</v>
      </c>
      <c r="I36" s="31">
        <v>3.2341556148148149</v>
      </c>
      <c r="J36" s="31">
        <v>0.71813953490000004</v>
      </c>
      <c r="M36" s="31">
        <v>4.6725761012345686</v>
      </c>
      <c r="N36" s="31">
        <v>3.3460582792257276E-4</v>
      </c>
      <c r="Y36" s="31">
        <v>3836.7346940000007</v>
      </c>
      <c r="Z36" s="31">
        <v>228.67119354612751</v>
      </c>
      <c r="AC36" s="31">
        <v>2619.666048</v>
      </c>
      <c r="AD36" s="31">
        <v>0.71813953490000004</v>
      </c>
      <c r="AG36" s="31">
        <v>3784.786642</v>
      </c>
      <c r="AH36" s="31">
        <v>21.953488369999999</v>
      </c>
      <c r="AR36" s="31">
        <v>4.7367094987654328</v>
      </c>
      <c r="AS36" s="31">
        <v>2.823101154890463</v>
      </c>
      <c r="AV36" s="31">
        <v>3.2341556148148149</v>
      </c>
      <c r="AW36" s="31">
        <v>0.71813953490000004</v>
      </c>
      <c r="AZ36" s="31">
        <v>4.6725761012345686</v>
      </c>
      <c r="BA36" s="31">
        <v>3.3460582792257276E-4</v>
      </c>
    </row>
    <row r="37" spans="5:53" ht="20.25" customHeight="1">
      <c r="E37" s="31">
        <v>4.8924620358024686</v>
      </c>
      <c r="F37" s="31">
        <v>2.6780406214840182</v>
      </c>
      <c r="I37" s="31">
        <v>3.3899081518518512</v>
      </c>
      <c r="J37" s="31">
        <v>0.72</v>
      </c>
      <c r="M37" s="31">
        <v>4.8833001209876539</v>
      </c>
      <c r="N37" s="31">
        <v>3.3744147050754456E-4</v>
      </c>
      <c r="Y37" s="31">
        <v>3962.8942489999999</v>
      </c>
      <c r="Z37" s="31">
        <v>216.92129034020547</v>
      </c>
      <c r="AC37" s="31">
        <v>2745.8256029999998</v>
      </c>
      <c r="AD37" s="31">
        <v>0.72</v>
      </c>
      <c r="AG37" s="31">
        <v>3955.4730979999999</v>
      </c>
      <c r="AH37" s="31">
        <v>22.139534879999999</v>
      </c>
      <c r="AR37" s="31">
        <v>4.8924620358024686</v>
      </c>
      <c r="AS37" s="31">
        <v>2.6780406214840182</v>
      </c>
      <c r="AV37" s="31">
        <v>3.3899081518518512</v>
      </c>
      <c r="AW37" s="31">
        <v>0.72</v>
      </c>
      <c r="AZ37" s="31">
        <v>4.8833001209876539</v>
      </c>
      <c r="BA37" s="31">
        <v>3.3744147050754456E-4</v>
      </c>
    </row>
    <row r="38" spans="5:53" ht="20.25" customHeight="1">
      <c r="E38" s="31">
        <v>5.0665384000000007</v>
      </c>
      <c r="F38" s="31">
        <v>2.4771875742976355</v>
      </c>
      <c r="I38" s="31">
        <v>3.6006321716049383</v>
      </c>
      <c r="J38" s="31">
        <v>0.72372093019999995</v>
      </c>
      <c r="M38" s="31">
        <v>5.1123479691358034</v>
      </c>
      <c r="N38" s="31">
        <v>3.3885929187623835E-4</v>
      </c>
      <c r="Y38" s="31">
        <v>4103.8961040000004</v>
      </c>
      <c r="Z38" s="31">
        <v>200.65219351810848</v>
      </c>
      <c r="AC38" s="31">
        <v>2916.5120590000001</v>
      </c>
      <c r="AD38" s="31">
        <v>0.72372093019999995</v>
      </c>
      <c r="AG38" s="31">
        <v>4141.0018550000004</v>
      </c>
      <c r="AH38" s="31">
        <v>22.232558139999998</v>
      </c>
      <c r="AR38" s="31">
        <v>5.0665384000000007</v>
      </c>
      <c r="AS38" s="31">
        <v>2.4771875742976355</v>
      </c>
      <c r="AV38" s="31">
        <v>3.6006321716049383</v>
      </c>
      <c r="AW38" s="31">
        <v>0.72372093019999995</v>
      </c>
      <c r="AZ38" s="31">
        <v>5.1123479691358034</v>
      </c>
      <c r="BA38" s="31">
        <v>3.3885929187623835E-4</v>
      </c>
    </row>
    <row r="39" spans="5:53" ht="20.25" customHeight="1">
      <c r="E39" s="31">
        <v>5.1948051950617282</v>
      </c>
      <c r="F39" s="31">
        <v>2.3209685381352037</v>
      </c>
      <c r="I39" s="31">
        <v>3.7930323641975305</v>
      </c>
      <c r="J39" s="31">
        <v>0.72372093019999995</v>
      </c>
      <c r="M39" s="31">
        <v>5.2681005061728392</v>
      </c>
      <c r="N39" s="31">
        <v>3.402771132449322E-4</v>
      </c>
      <c r="Y39" s="31">
        <v>4207.7922079999998</v>
      </c>
      <c r="Z39" s="31">
        <v>187.9984515889515</v>
      </c>
      <c r="AC39" s="31">
        <v>3072.3562149999998</v>
      </c>
      <c r="AD39" s="31">
        <v>0.72372093019999995</v>
      </c>
      <c r="AG39" s="31">
        <v>4267.1614099999997</v>
      </c>
      <c r="AH39" s="31">
        <v>22.325581400000001</v>
      </c>
      <c r="AR39" s="31">
        <v>5.1948051950617282</v>
      </c>
      <c r="AS39" s="31">
        <v>2.3209685381352037</v>
      </c>
      <c r="AV39" s="31">
        <v>3.7930323641975305</v>
      </c>
      <c r="AW39" s="31">
        <v>0.72372093019999995</v>
      </c>
      <c r="AZ39" s="31">
        <v>5.2681005061728392</v>
      </c>
      <c r="BA39" s="31">
        <v>3.402771132449322E-4</v>
      </c>
    </row>
    <row r="40" spans="5:53" ht="20.25" customHeight="1">
      <c r="E40" s="31">
        <v>5.3047481617283943</v>
      </c>
      <c r="F40" s="31">
        <v>2.1870665074847464</v>
      </c>
      <c r="I40" s="31">
        <v>3.9487849012345682</v>
      </c>
      <c r="J40" s="31">
        <v>0.71813953490000004</v>
      </c>
      <c r="M40" s="31">
        <v>5.442176870370373</v>
      </c>
      <c r="N40" s="31">
        <v>3.4453057704618195E-4</v>
      </c>
      <c r="Y40" s="31">
        <v>4296.8460109999996</v>
      </c>
      <c r="Z40" s="31">
        <v>177.15238710626448</v>
      </c>
      <c r="AC40" s="31">
        <v>3198.51577</v>
      </c>
      <c r="AD40" s="31">
        <v>0.71813953490000004</v>
      </c>
      <c r="AG40" s="31">
        <v>4408.163265000001</v>
      </c>
      <c r="AH40" s="31">
        <v>22.60465116</v>
      </c>
      <c r="AR40" s="31">
        <v>5.3047481617283943</v>
      </c>
      <c r="AS40" s="31">
        <v>2.1870665074847464</v>
      </c>
      <c r="AV40" s="31">
        <v>3.9487849012345682</v>
      </c>
      <c r="AW40" s="31">
        <v>0.71813953490000004</v>
      </c>
      <c r="AZ40" s="31">
        <v>5.442176870370373</v>
      </c>
      <c r="BA40" s="31">
        <v>3.4453057704618195E-4</v>
      </c>
    </row>
    <row r="41" spans="5:53" ht="20.25" customHeight="1">
      <c r="E41" s="31">
        <v>5.3963673012345676</v>
      </c>
      <c r="F41" s="31">
        <v>2.0754814811355682</v>
      </c>
      <c r="I41" s="31">
        <v>4.077051696296297</v>
      </c>
      <c r="J41" s="31">
        <v>0.71255813950000002</v>
      </c>
      <c r="M41" s="31">
        <v>5.6070913209876556</v>
      </c>
      <c r="N41" s="31">
        <v>3.4594839841487575E-4</v>
      </c>
      <c r="Y41" s="31">
        <v>4371.0575140000001</v>
      </c>
      <c r="Z41" s="31">
        <v>168.113999971981</v>
      </c>
      <c r="AC41" s="31">
        <v>3302.4118740000004</v>
      </c>
      <c r="AD41" s="31">
        <v>0.71255813950000002</v>
      </c>
      <c r="AG41" s="31">
        <v>4541.7439700000004</v>
      </c>
      <c r="AH41" s="31">
        <v>22.697674419999998</v>
      </c>
      <c r="AR41" s="31">
        <v>5.3963673012345676</v>
      </c>
      <c r="AS41" s="31">
        <v>2.0754814811355682</v>
      </c>
      <c r="AV41" s="31">
        <v>4.077051696296297</v>
      </c>
      <c r="AW41" s="31">
        <v>0.71255813950000002</v>
      </c>
      <c r="AZ41" s="31">
        <v>5.6070913209876556</v>
      </c>
      <c r="BA41" s="31">
        <v>3.4594839841487575E-4</v>
      </c>
    </row>
    <row r="42" spans="5:53" ht="20.25" customHeight="1">
      <c r="E42" s="31">
        <v>5.4788245259259263</v>
      </c>
      <c r="F42" s="31">
        <v>1.9638964559970862</v>
      </c>
      <c r="I42" s="31">
        <v>4.2511280604938273</v>
      </c>
      <c r="J42" s="31">
        <v>0.69953488370000005</v>
      </c>
      <c r="M42" s="31">
        <v>5.6987104604938272</v>
      </c>
      <c r="N42" s="31">
        <v>3.4453057704618195E-4</v>
      </c>
      <c r="Y42" s="31">
        <v>4437.8478660000001</v>
      </c>
      <c r="Z42" s="31">
        <v>159.07561293576398</v>
      </c>
      <c r="AC42" s="31">
        <v>3443.4137289999999</v>
      </c>
      <c r="AD42" s="31">
        <v>0.69953488370000005</v>
      </c>
      <c r="AG42" s="31">
        <v>4615.955473</v>
      </c>
      <c r="AH42" s="31">
        <v>22.60465116</v>
      </c>
      <c r="AR42" s="31">
        <v>5.4788245259259263</v>
      </c>
      <c r="AS42" s="31">
        <v>1.9638964559970862</v>
      </c>
      <c r="AV42" s="31">
        <v>4.2511280604938273</v>
      </c>
      <c r="AW42" s="31">
        <v>0.69953488370000005</v>
      </c>
      <c r="AZ42" s="31">
        <v>5.6987104604938272</v>
      </c>
      <c r="BA42" s="31">
        <v>3.4453057704618195E-4</v>
      </c>
    </row>
    <row r="43" spans="5:53" ht="20.25" customHeight="1">
      <c r="E43" s="31">
        <v>5.5704436654320979</v>
      </c>
      <c r="F43" s="31">
        <v>1.8746284351598828</v>
      </c>
      <c r="I43" s="31">
        <v>4.3977186839506182</v>
      </c>
      <c r="J43" s="31">
        <v>0.6920930233</v>
      </c>
      <c r="Y43" s="31">
        <v>4512.0593689999996</v>
      </c>
      <c r="Z43" s="31">
        <v>151.8449032479505</v>
      </c>
      <c r="AC43" s="31">
        <v>3562.1521340000004</v>
      </c>
      <c r="AD43" s="31">
        <v>0.6920930233</v>
      </c>
      <c r="AR43" s="31">
        <v>5.5704436654320979</v>
      </c>
      <c r="AS43" s="31">
        <v>1.8746284351598828</v>
      </c>
      <c r="AV43" s="31">
        <v>4.3977186839506182</v>
      </c>
      <c r="AW43" s="31">
        <v>0.6920930233</v>
      </c>
    </row>
    <row r="44" spans="5:53" ht="20.25" customHeight="1">
      <c r="E44" s="31">
        <v>5.6803866333333337</v>
      </c>
      <c r="F44" s="31">
        <v>1.7407264032987282</v>
      </c>
      <c r="I44" s="31">
        <v>4.5443093061728401</v>
      </c>
      <c r="J44" s="31">
        <v>0.67720930229999998</v>
      </c>
      <c r="Y44" s="31">
        <v>4601.1131729999997</v>
      </c>
      <c r="Z44" s="31">
        <v>140.99883866719699</v>
      </c>
      <c r="AC44" s="31">
        <v>3680.8905380000001</v>
      </c>
      <c r="AD44" s="31">
        <v>0.67720930229999998</v>
      </c>
      <c r="AR44" s="31">
        <v>5.6803866333333337</v>
      </c>
      <c r="AS44" s="31">
        <v>1.7407264032987282</v>
      </c>
      <c r="AV44" s="31">
        <v>4.5443093061728401</v>
      </c>
      <c r="AW44" s="31">
        <v>0.67720930229999998</v>
      </c>
    </row>
    <row r="45" spans="5:53" ht="20.25" customHeight="1">
      <c r="I45" s="31">
        <v>4.6908999283950621</v>
      </c>
      <c r="J45" s="31">
        <v>0.66046511630000004</v>
      </c>
      <c r="AC45" s="31">
        <v>3799.6289419999998</v>
      </c>
      <c r="AD45" s="31">
        <v>0.66046511630000004</v>
      </c>
      <c r="AV45" s="31">
        <v>4.6908999283950621</v>
      </c>
      <c r="AW45" s="31">
        <v>0.66046511630000004</v>
      </c>
    </row>
    <row r="46" spans="5:53" ht="20.25" customHeight="1">
      <c r="I46" s="31">
        <v>4.8191667234567905</v>
      </c>
      <c r="J46" s="31">
        <v>0.64186046509999994</v>
      </c>
      <c r="AC46" s="31">
        <v>3903.5250460000002</v>
      </c>
      <c r="AD46" s="31">
        <v>0.64186046509999994</v>
      </c>
      <c r="AV46" s="31">
        <v>4.8191667234567905</v>
      </c>
      <c r="AW46" s="31">
        <v>0.64186046509999994</v>
      </c>
    </row>
    <row r="47" spans="5:53" ht="20.25" customHeight="1">
      <c r="I47" s="31">
        <v>4.9657573469135796</v>
      </c>
      <c r="J47" s="31">
        <v>0.61395348839999997</v>
      </c>
      <c r="AC47" s="31">
        <v>4022.2634509999998</v>
      </c>
      <c r="AD47" s="31">
        <v>0.61395348839999997</v>
      </c>
      <c r="AV47" s="31">
        <v>4.9657573469135796</v>
      </c>
      <c r="AW47" s="31">
        <v>0.61395348839999997</v>
      </c>
    </row>
    <row r="48" spans="5:53" ht="20.25" customHeight="1">
      <c r="I48" s="31">
        <v>5.0757003135802465</v>
      </c>
      <c r="J48" s="31">
        <v>0.59906976739999995</v>
      </c>
      <c r="AC48" s="31">
        <v>4111.3172539999996</v>
      </c>
      <c r="AD48" s="31">
        <v>0.59906976739999995</v>
      </c>
      <c r="AV48" s="31">
        <v>5.0757003135802465</v>
      </c>
      <c r="AW48" s="31">
        <v>0.59906976739999995</v>
      </c>
    </row>
    <row r="49" spans="9:49" ht="20.25" customHeight="1">
      <c r="I49" s="31">
        <v>5.2222909370370365</v>
      </c>
      <c r="J49" s="31">
        <v>0.56744186050000001</v>
      </c>
      <c r="AC49" s="31">
        <v>4230.0556589999997</v>
      </c>
      <c r="AD49" s="31">
        <v>0.56744186050000001</v>
      </c>
      <c r="AV49" s="31">
        <v>5.2222909370370365</v>
      </c>
      <c r="AW49" s="31">
        <v>0.56744186050000001</v>
      </c>
    </row>
    <row r="50" spans="9:49" ht="20.25" customHeight="1">
      <c r="I50" s="31">
        <v>5.3597196456790117</v>
      </c>
      <c r="J50" s="31">
        <v>0.53767441859999998</v>
      </c>
      <c r="AC50" s="31">
        <v>4341.3729130000002</v>
      </c>
      <c r="AD50" s="31">
        <v>0.53767441859999998</v>
      </c>
      <c r="AV50" s="31">
        <v>5.3597196456790117</v>
      </c>
      <c r="AW50" s="31">
        <v>0.53767441859999998</v>
      </c>
    </row>
    <row r="51" spans="9:49" ht="20.25" customHeight="1">
      <c r="I51" s="31">
        <v>5.4696626123456795</v>
      </c>
      <c r="J51" s="31">
        <v>0.51720930230000006</v>
      </c>
      <c r="AC51" s="31">
        <v>4430.4267159999999</v>
      </c>
      <c r="AD51" s="31">
        <v>0.51720930230000006</v>
      </c>
      <c r="AV51" s="31">
        <v>5.4696626123456795</v>
      </c>
      <c r="AW51" s="31">
        <v>0.51720930230000006</v>
      </c>
    </row>
    <row r="52" spans="9:49" ht="20.25" customHeight="1">
      <c r="I52" s="31">
        <v>5.5796055790123464</v>
      </c>
      <c r="J52" s="31">
        <v>0.49116279069999996</v>
      </c>
      <c r="AC52" s="31">
        <v>4519.4805189999997</v>
      </c>
      <c r="AD52" s="31">
        <v>0.49116279069999996</v>
      </c>
      <c r="AV52" s="31">
        <v>5.5796055790123464</v>
      </c>
      <c r="AW52" s="31">
        <v>0.49116279069999996</v>
      </c>
    </row>
    <row r="53" spans="9:49" ht="20.25" customHeight="1">
      <c r="I53" s="31">
        <v>5.6803866333333337</v>
      </c>
      <c r="J53" s="31">
        <v>0.46325581399999999</v>
      </c>
      <c r="AC53" s="31">
        <v>4601.1131729999997</v>
      </c>
      <c r="AD53" s="31">
        <v>0.46325581399999999</v>
      </c>
      <c r="AV53" s="31">
        <v>5.6803866333333337</v>
      </c>
      <c r="AW53" s="31">
        <v>0.46325581399999999</v>
      </c>
    </row>
  </sheetData>
  <sheetProtection algorithmName="SHA-512" hashValue="B444IL44vCTy0TcHSVd8GUpWcMzZGuIrAunHEd1X2p2JYg2yccyeCt+aAqkdUj7LVli16GwtfoGn0FfQZXAWVw==" saltValue="nd0I8WXsM7EH28I4eSGXAQ==" spinCount="100000" sheet="1" objects="1" scenarios="1"/>
  <phoneticPr fontId="2"/>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8DA7-5CA9-4B6E-BDD2-04C77C803338}">
  <sheetPr codeName="Sheet7">
    <tabColor theme="0" tint="-0.499984740745262"/>
  </sheetPr>
  <dimension ref="A1:FT1012"/>
  <sheetViews>
    <sheetView showGridLines="0" zoomScaleNormal="100" workbookViewId="0"/>
  </sheetViews>
  <sheetFormatPr defaultColWidth="3.375" defaultRowHeight="20.25" customHeight="1"/>
  <cols>
    <col min="1" max="3" width="3.375" style="31"/>
    <col min="4" max="4" width="19.25" style="31" bestFit="1" customWidth="1"/>
    <col min="5" max="5" width="10.375" style="31" customWidth="1"/>
    <col min="6" max="9" width="3.375" style="31"/>
    <col min="10" max="10" width="13.75" style="31" bestFit="1" customWidth="1"/>
    <col min="11" max="11" width="12.75" style="31" bestFit="1" customWidth="1"/>
    <col min="12" max="15" width="3.375" style="31"/>
    <col min="16" max="16" width="10" style="31" customWidth="1"/>
    <col min="17" max="17" width="7.5" style="31" customWidth="1"/>
    <col min="18" max="19" width="3.375" style="31"/>
    <col min="20" max="25" width="7.5" style="31" customWidth="1"/>
    <col min="26" max="26" width="8.75" style="31" customWidth="1"/>
    <col min="27" max="27" width="10" style="31" customWidth="1"/>
    <col min="28" max="48" width="3.375" style="31"/>
    <col min="49" max="49" width="9.625" style="31" customWidth="1"/>
    <col min="50" max="50" width="7.5" style="31" customWidth="1"/>
    <col min="51" max="51" width="3.375" style="31"/>
    <col min="52" max="52" width="9.625" style="31" customWidth="1"/>
    <col min="53" max="53" width="7.5" style="31" customWidth="1"/>
    <col min="54" max="57" width="3.375" style="31"/>
    <col min="58" max="58" width="11.375" style="31" bestFit="1" customWidth="1"/>
    <col min="59" max="59" width="13.75" style="31" bestFit="1" customWidth="1"/>
    <col min="60" max="68" width="3.375" style="31"/>
    <col min="69" max="69" width="13.375" style="31" bestFit="1" customWidth="1"/>
    <col min="70" max="70" width="12.5" style="31" customWidth="1"/>
    <col min="71" max="106" width="3.375" style="31"/>
    <col min="107" max="108" width="11.125" style="31" customWidth="1"/>
    <col min="109" max="123" width="3.375" style="31"/>
    <col min="124" max="124" width="18.375" style="31" bestFit="1" customWidth="1"/>
    <col min="125" max="125" width="14.25" style="31" bestFit="1" customWidth="1"/>
    <col min="126" max="127" width="3.375" style="31"/>
    <col min="128" max="128" width="13" style="31" bestFit="1" customWidth="1"/>
    <col min="129" max="133" width="3.375" style="31"/>
    <col min="134" max="134" width="20.25" style="31" bestFit="1" customWidth="1"/>
    <col min="135" max="136" width="3.375" style="31"/>
    <col min="137" max="137" width="12.75" style="31" bestFit="1" customWidth="1"/>
    <col min="138" max="138" width="3.375" style="31"/>
    <col min="139" max="139" width="7.125" style="31" bestFit="1" customWidth="1"/>
    <col min="140" max="140" width="9.375" style="31" customWidth="1"/>
    <col min="141" max="141" width="5.375" style="31" customWidth="1"/>
    <col min="142" max="143" width="3.375" style="31"/>
    <col min="144" max="144" width="18.875" style="31" customWidth="1"/>
    <col min="145" max="145" width="13.5" style="31" customWidth="1"/>
    <col min="146" max="146" width="14" style="31" bestFit="1" customWidth="1"/>
    <col min="147" max="147" width="9.625" style="31" customWidth="1"/>
    <col min="148" max="149" width="3.375" style="31"/>
    <col min="150" max="150" width="49.5" style="31" bestFit="1" customWidth="1"/>
    <col min="151" max="151" width="6.375" style="31" bestFit="1" customWidth="1"/>
    <col min="152" max="154" width="3.375" style="31"/>
    <col min="155" max="155" width="12.875" style="31" bestFit="1" customWidth="1"/>
    <col min="156" max="156" width="13.75" style="31" bestFit="1" customWidth="1"/>
    <col min="157" max="160" width="3.375" style="31"/>
    <col min="161" max="161" width="9.625" style="31" customWidth="1"/>
    <col min="162" max="162" width="7.5" style="31" customWidth="1"/>
    <col min="163" max="163" width="3.375" style="31"/>
    <col min="164" max="164" width="9.625" style="31" customWidth="1"/>
    <col min="165" max="165" width="7.5" style="31" customWidth="1"/>
    <col min="166" max="167" width="3.375" style="31"/>
    <col min="168" max="168" width="9.625" style="31" customWidth="1"/>
    <col min="169" max="169" width="7.5" style="31" customWidth="1"/>
    <col min="170" max="170" width="3.375" style="31"/>
    <col min="171" max="171" width="9.625" style="31" customWidth="1"/>
    <col min="172" max="172" width="7.5" style="31" customWidth="1"/>
    <col min="173" max="175" width="3.375" style="31"/>
    <col min="176" max="176" width="5.5" style="31" bestFit="1" customWidth="1"/>
    <col min="177" max="16384" width="3.375" style="31"/>
  </cols>
  <sheetData>
    <row r="1" spans="1:176" s="40" customFormat="1" ht="20.25" customHeight="1">
      <c r="A1" s="40" t="s">
        <v>509</v>
      </c>
    </row>
    <row r="2" spans="1:176" s="40" customFormat="1" ht="30">
      <c r="B2" s="41" t="s">
        <v>241</v>
      </c>
    </row>
    <row r="3" spans="1:176" s="39" customFormat="1" ht="7.5" customHeight="1"/>
    <row r="5" spans="1:176" ht="20.25" customHeight="1">
      <c r="B5" s="31" t="s">
        <v>102</v>
      </c>
      <c r="G5" s="31" t="s">
        <v>101</v>
      </c>
      <c r="M5" s="31" t="s">
        <v>100</v>
      </c>
      <c r="FB5" s="31" t="s">
        <v>533</v>
      </c>
    </row>
    <row r="6" spans="1:176" ht="20.25" customHeight="1">
      <c r="C6" s="31" t="s">
        <v>240</v>
      </c>
      <c r="H6" s="31" t="s">
        <v>98</v>
      </c>
      <c r="N6" s="31" t="s">
        <v>239</v>
      </c>
      <c r="BC6" s="31" t="s">
        <v>238</v>
      </c>
      <c r="ES6" s="31" t="s">
        <v>237</v>
      </c>
      <c r="EW6" s="31" t="s">
        <v>236</v>
      </c>
      <c r="FC6" s="31" t="s">
        <v>534</v>
      </c>
    </row>
    <row r="7" spans="1:176" ht="20.25" customHeight="1">
      <c r="D7" s="33" t="s">
        <v>235</v>
      </c>
      <c r="E7" s="31" cm="1">
        <f t="array" ref="E7:E11">_xlfn.ANCHORARRAY(EZ8)</f>
        <v>-6.5039412408014396E-3</v>
      </c>
      <c r="I7" s="31" t="s">
        <v>113</v>
      </c>
      <c r="BD7" s="31" t="s">
        <v>234</v>
      </c>
      <c r="BN7" s="31" t="s">
        <v>233</v>
      </c>
      <c r="CB7" s="31" t="s">
        <v>232</v>
      </c>
      <c r="DB7" s="31" t="s">
        <v>231</v>
      </c>
      <c r="DR7" s="31" t="s">
        <v>230</v>
      </c>
      <c r="EF7" s="31" t="s">
        <v>229</v>
      </c>
      <c r="EL7" s="31" t="s">
        <v>228</v>
      </c>
      <c r="ET7" s="33" t="s">
        <v>176</v>
      </c>
      <c r="EU7" s="31" t="b">
        <f>NOT(ISNA(EN9))</f>
        <v>1</v>
      </c>
    </row>
    <row r="8" spans="1:176" ht="20.25" customHeight="1">
      <c r="D8" s="33" t="s">
        <v>227</v>
      </c>
      <c r="E8" s="31">
        <v>7.3953802908153773E-2</v>
      </c>
      <c r="P8" s="37" t="s">
        <v>202</v>
      </c>
      <c r="Q8" s="37" t="s">
        <v>201</v>
      </c>
      <c r="AZ8" s="31" t="s">
        <v>526</v>
      </c>
      <c r="BO8" s="31" t="s">
        <v>226</v>
      </c>
      <c r="CC8" s="31" t="s">
        <v>225</v>
      </c>
      <c r="DS8" s="31" t="s">
        <v>224</v>
      </c>
      <c r="ED8" s="49" t="s">
        <v>222</v>
      </c>
      <c r="EI8" s="31" t="s">
        <v>223</v>
      </c>
      <c r="EJ8" s="31">
        <f>MIN(_xlfn.ANCHORARRAY(EG10))</f>
        <v>1.832382785185185E-2</v>
      </c>
      <c r="EK8" s="47"/>
      <c r="EN8" s="49" t="s">
        <v>222</v>
      </c>
      <c r="EO8" s="49" t="s">
        <v>221</v>
      </c>
      <c r="EP8" s="49" t="s">
        <v>220</v>
      </c>
      <c r="EQ8" s="49" t="s">
        <v>219</v>
      </c>
      <c r="ET8" s="33" t="s">
        <v>218</v>
      </c>
      <c r="EU8" s="31" t="b">
        <f>OR(ISNA(EN9),COUNT(_xlfn.ANCHORARRAY(EN9))=1)</f>
        <v>1</v>
      </c>
      <c r="EY8" s="31" t="s">
        <v>217</v>
      </c>
      <c r="EZ8" s="31" cm="1">
        <f t="array" ref="EZ8:EZ12">_xlfn.LET(
    _xlpm._coefficients, TRANSPOSE(_xlfn.ANCHORARRAY(
        T10)
    ),
    _xlpm._meet_the_conditions, EU8,
    IF(
        _xlpm._meet_the_conditions,
        _xlpm._coefficients,
        _xlpm._coefficients * NA()
    )
)</f>
        <v>-6.5039412408014396E-3</v>
      </c>
    </row>
    <row r="9" spans="1:176" ht="20.25" customHeight="1">
      <c r="D9" s="33" t="s">
        <v>216</v>
      </c>
      <c r="E9" s="31">
        <v>-0.35664959080564745</v>
      </c>
      <c r="J9" s="37" t="s">
        <v>109</v>
      </c>
      <c r="K9" s="38" t="s">
        <v>108</v>
      </c>
      <c r="P9" s="47" t="s">
        <v>194</v>
      </c>
      <c r="Q9" s="47" t="s">
        <v>193</v>
      </c>
      <c r="T9" s="36" t="s">
        <v>215</v>
      </c>
      <c r="U9" s="36" t="s">
        <v>214</v>
      </c>
      <c r="V9" s="36" t="s">
        <v>213</v>
      </c>
      <c r="W9" s="36" t="s">
        <v>212</v>
      </c>
      <c r="X9" s="36" t="s">
        <v>211</v>
      </c>
      <c r="Z9" s="37"/>
      <c r="AX9" s="48" t="s">
        <v>210</v>
      </c>
      <c r="AZ9" s="33" t="s">
        <v>527</v>
      </c>
      <c r="BA9" s="31">
        <f>MIN(_xlfn.ANCHORARRAY(Q11))</f>
        <v>1.832382785185185E-2</v>
      </c>
      <c r="CA9" s="33"/>
      <c r="DD9" s="48" t="s">
        <v>210</v>
      </c>
      <c r="DT9" s="33" t="s">
        <v>127</v>
      </c>
      <c r="DU9" s="31">
        <f>IFERROR(VALUE(BR129),BR129)</f>
        <v>0.28465364146978933</v>
      </c>
      <c r="ED9" s="31" cm="1">
        <f t="array" ref="ED9:ED11">_xlfn.LET(
    _xlpm._array_x, DU9:DU11,
    _xlpm._sign, DU13,
    _xlpm._D_1, DU20,
    _xlpm._D_2, DU26,
    _xlpm._numbers_row_available, _xlfn.LET(
        _xlpm._tmp, _xlfn._xlws.SORT(
            _xlfn.UNIQUE(
                _xlfn.SEQUENCE(ROWS(_xlpm._array_x)) *
                    NOT(ISTEXT(_xlpm._array_x))
            )
        ),
        IF(
            ROWS(_xlpm._tmp) = 1,
            IF(_xlpm._tmp = 0, NA(), _xlpm._tmp),
            _xlfn.UNIQUE(IF(_xlpm._tmp = 0, INDEX(_xlpm._tmp, 2), _xlpm._tmp), )
        )
    ),
    _xlpm._list_maximum_local, IF(
        ISNA(_xlpm._numbers_row_available),
        NA(),
        _xlfn.LET(
            _xlpm._roots_real, _xlfn.CHOOSEROWS(
                _xlpm._array_x,
                _xlpm._numbers_row_available
            ),
            _xlpm._roots_real_unique, _xlfn._xlws.SORT(_xlfn.UNIQUE(_xlpm._roots_real)),
            IF(
                _xlpm._sign &gt; 0,
                IF(
                    _xlpm._D_1 &gt; 0,
                    _xlfn.TAKE(_xlfn.DROP(_xlfn._xlws.SORT(_xlpm._array_x), 1), 1),
                    NA()
                ),
                IF(
                    _xlpm._sign &lt; 0,
                    IF(
                        _xlpm._D_1 &gt; 0,
                        _xlfn.CHOOSEROWS(
                            _xlpm._roots_real_unique,
                            {1,3}
                        ),
                        IF(
                            _xlpm._D_1 &lt; 0,
                            _xlpm._roots_real_unique,
                            IF(
                                _xlpm._D_2 &gt; 0,
                                MIN(_xlpm._roots_real_unique),
                                IF(
                                    _xlpm._D_2 &lt; 0,
                                    MAX(
                                        _xlpm._roots_real_unique
                                    ),
                                    _xlpm._roots_real_unique
                                )
                            )
                        )
                    ),
                    "Error: 特性式が4次式ではありません"
                )
            )
        )
    ),
    _xlfn.UNIQUE(_xlpm._list_maximum_local)
)</f>
        <v>0.28465364146978933</v>
      </c>
      <c r="EG9" s="36" t="s">
        <v>185</v>
      </c>
      <c r="EI9" s="31" t="s">
        <v>209</v>
      </c>
      <c r="EJ9" s="31">
        <f>MAX(_xlfn.ANCHORARRAY(EG10))</f>
        <v>5.6803866333333337</v>
      </c>
      <c r="EK9" s="47"/>
      <c r="EN9" s="31" cm="1">
        <f t="array" ref="EN9">_xlfn.LET(
    _xlpm._x_min, EJ8,
    _xlpm._x_max, EJ9,
    _xlpm._array_x,_xlfn.ANCHORARRAY( ED9),
    _xlpm._array_number_row, _xlfn.LET(
        _xlpm._buf, _xlfn._xlws.SORT(
            _xlfn.UNIQUE(
                NOT(ISERROR(_xlpm._array_x)) * _xlfn.SEQUENCE(ROWS(_xlpm._array_x)),
                FALSE,
                FALSE
            )
        ),
        _xlfn.UNIQUE(
            IF(_xlpm._buf = 0, IF(ROWS(_xlpm._buf) = 1, NA(), INDEX(_xlpm._buf, 2)), _xlpm._buf),
            FALSE,
            FALSE
        )
    ),
    _xlpm._array_x_without_error, _xlfn.CHOOSEROWS(_xlpm._array_x, _xlpm._array_number_row),
    _xlpm._array_number_row_enable, _xlfn.LET(
        _xlpm._buf, _xlfn._xlws.SORT(
            _xlfn.UNIQUE(
                (_xlpm._x_min &lt;= _xlpm._array_x_without_error) *
                    (_xlpm._array_x_without_error &lt;= _xlpm._x_max) *
                    _xlfn.SEQUENCE(ROWS(_xlpm._array_x_without_error)),
                FALSE,
                FALSE
            )
        ),
        _xlfn.UNIQUE(
            IF(_xlpm._buf = 0, IF(ROWS(_xlpm._buf) = 1, NA(), INDEX(_xlpm._buf, 2)), _xlpm._buf),
            FALSE,
            FALSE
        )
    ),
    IF(
        ISNA(_xlpm._array_number_row_enable),
        NA(),
        _xlfn.CHOOSEROWS(_xlpm._array_x_without_error, _xlpm._array_number_row_enable)
    )
)</f>
        <v>0.28465364146978933</v>
      </c>
      <c r="EO9" s="31" cm="1">
        <f t="array" ref="EO9">_xlfn.LET(
    _xlpm._coefficient,_xlfn.ANCHORARRAY( T10),
    _xlpm._values_x,_xlfn.ANCHORARRAY( EN9),
    _xlfn.MAP(
        _xlpm._values_x,
        _xlfn.LAMBDA(_xlpm._x,
            SUM(
                _xlpm._coefficient *
                    _xlfn.HSTACK(_xlpm._x ^ {4,3,2,1}, 1)
            )
        )
    )
)</f>
        <v>5.39594096788261</v>
      </c>
      <c r="EP9" s="31">
        <f>INDEX(_xlfn.ANCHORARRAY(EN9),MATCH(EQ9,_xlfn.ANCHORARRAY(EO9),0))</f>
        <v>0.28465364146978933</v>
      </c>
      <c r="EQ9" s="31">
        <f>MAX(_xlfn.ANCHORARRAY(EO9))</f>
        <v>5.39594096788261</v>
      </c>
      <c r="EY9" s="31" t="s">
        <v>208</v>
      </c>
      <c r="EZ9" s="31">
        <v>7.3953802908153773E-2</v>
      </c>
    </row>
    <row r="10" spans="1:176" ht="20.25" customHeight="1">
      <c r="D10" s="33" t="s">
        <v>207</v>
      </c>
      <c r="E10" s="31">
        <v>0.18566633997122894</v>
      </c>
      <c r="J10" s="36" t="s">
        <v>50</v>
      </c>
      <c r="K10" s="36" t="s">
        <v>50</v>
      </c>
      <c r="P10" s="35" t="s">
        <v>84</v>
      </c>
      <c r="Q10" s="35" t="s">
        <v>84</v>
      </c>
      <c r="T10" s="31" cm="1">
        <f t="array" ref="T10:X10">LINEST(_xlfn.ANCHORARRAY(T14),_xlfn.ANCHORARRAY(U14),TRUE)</f>
        <v>-6.5039412408014396E-3</v>
      </c>
      <c r="U10" s="31">
        <v>7.3953802908153773E-2</v>
      </c>
      <c r="V10" s="31">
        <v>-0.35664959080564745</v>
      </c>
      <c r="W10" s="31">
        <v>0.18566633997122894</v>
      </c>
      <c r="X10" s="31">
        <v>5.3703258323470777</v>
      </c>
      <c r="AX10" s="32">
        <v>0.5</v>
      </c>
      <c r="AZ10" s="33" t="s">
        <v>528</v>
      </c>
      <c r="BA10" s="31">
        <f>MAX(_xlfn.ANCHORARRAY(Q11))</f>
        <v>5.6803866333333337</v>
      </c>
      <c r="CA10" s="33"/>
      <c r="CC10" s="31" t="s">
        <v>206</v>
      </c>
      <c r="CN10" s="31" t="s">
        <v>205</v>
      </c>
      <c r="DD10" s="32">
        <v>0</v>
      </c>
      <c r="DT10" s="33" t="s">
        <v>126</v>
      </c>
      <c r="DU10" s="31" t="e">
        <f>IFERROR(VALUE(BR130),BR130)</f>
        <v>#VALUE!</v>
      </c>
      <c r="ED10" s="31" t="e">
        <v>#VALUE!</v>
      </c>
      <c r="EG10" s="31" cm="1">
        <f t="array" ref="EG10:EG110">_xlfn.LET(
    _xlpm._array_x,_xlfn.ANCHORARRAY( BA14),
    _xlpm._numbers_row_available, _xlfn.LET(
        _xlpm._tmp, _xlfn._xlws.SORT(
            _xlfn.UNIQUE(
                _xlfn.SEQUENCE(ROWS(_xlpm._array_x)) *
                    NOT(ISTEXT(_xlpm._array_x))
            )
        ),
        IF(
            ROWS(_xlpm._tmp) = 1,
            IF(_xlpm._tmp = 0, NA(), _xlpm._tmp),
            _xlfn.UNIQUE(IF(_xlpm._tmp = 0, INDEX(_xlpm._tmp, 2), _xlpm._tmp), )
        )
    ),
    IF(
        ISNA(_xlpm._numbers_row_available),
        {""},
        _xlfn.CHOOSEROWS(_xlpm._array_x, _xlpm._numbers_row_available)
    )
)</f>
        <v>1.832382785185185E-2</v>
      </c>
      <c r="EY10" s="31" t="s">
        <v>204</v>
      </c>
      <c r="EZ10" s="31">
        <v>-0.35664959080564745</v>
      </c>
      <c r="FD10" s="31" t="s">
        <v>535</v>
      </c>
      <c r="FK10" s="31" t="s">
        <v>536</v>
      </c>
      <c r="FR10" s="31" t="s">
        <v>630</v>
      </c>
    </row>
    <row r="11" spans="1:176" ht="20.25" customHeight="1">
      <c r="D11" s="33" t="s">
        <v>203</v>
      </c>
      <c r="E11" s="31">
        <v>5.3703258323470777</v>
      </c>
      <c r="J11" s="32" cm="1">
        <f t="array" ref="J11:J44">_xlfn.ANCHORARRAY(B!E11)</f>
        <v>1.832382785185185E-2</v>
      </c>
      <c r="K11" s="32" cm="1">
        <f t="array" ref="K11:K44">_xlfn.ANCHORARRAY(B!F11)</f>
        <v>5.3783982472693141</v>
      </c>
      <c r="P11" s="31" cm="1">
        <f t="array" ref="P11:P44">_xlfn.LET(
    _xlpm._C_h_input, K11:K1011,
    _xlpm._numbers_row_available, _xlfn.LET(
        _xlpm._tmp, _xlfn._xlws.SORT(
            _xlfn.UNIQUE(
                _xlfn.SEQUENCE(ROWS(_xlpm._C_h_input)) *
                    (LEN(TRIM(_xlpm._C_h_input)) &gt; 0)
            )
        ),
        IF(
            ROWS(_xlpm._tmp) = 1,
            IF(_xlpm._tmp = 0, NA(), _xlpm._tmp),
            _xlfn.UNIQUE(IF(_xlpm._tmp = 0, INDEX(_xlpm._tmp, 2), _xlpm._tmp))
        )
    ),
    _xlpm._C_h, IF(
        ISNA(_xlpm._numbers_row_available),
        {""},
        _xlfn.CHOOSEROWS(_xlpm._C_h_input, _xlpm._numbers_row_available)
    ),
    _xlpm._C_h
)</f>
        <v>5.3783982472693141</v>
      </c>
      <c r="Q11" s="31" cm="1">
        <f t="array" ref="Q11:Q44">_xlfn.LET(
    _xlpm._C_f_input, J11:J1011,
    _xlpm._numbers_row_available, _xlfn.LET(
        _xlpm._tmp, _xlfn._xlws.SORT(
            _xlfn.UNIQUE(
                _xlfn.SEQUENCE(ROWS(_xlpm._C_f_input)) *
                    (LEN(TRIM(_xlpm._C_f_input)) &gt; 0)
            )
        ),
        IF(
            ROWS(_xlpm._tmp) = 1,
            IF(_xlpm._tmp = 0, NA(), _xlpm._tmp),
            _xlfn.UNIQUE(IF(_xlpm._tmp = 0, INDEX(_xlpm._tmp, 2), _xlpm._tmp))
        )
    ),
    _xlpm._C_f, IF(
        ISNA(_xlpm._numbers_row_available),
        {""},
        _xlfn.CHOOSEROWS(_xlpm._C_f_input, _xlpm._numbers_row_available)
    ),
    _xlpm._C_f
)</f>
        <v>1.832382785185185E-2</v>
      </c>
      <c r="AW11" s="37" t="s">
        <v>202</v>
      </c>
      <c r="AX11" s="37" t="s">
        <v>201</v>
      </c>
      <c r="AZ11" s="37" t="s">
        <v>202</v>
      </c>
      <c r="BA11" s="37" t="s">
        <v>201</v>
      </c>
      <c r="BE11" s="31" t="s">
        <v>200</v>
      </c>
      <c r="CA11" s="33"/>
      <c r="CD11" s="31" t="s">
        <v>199</v>
      </c>
      <c r="CO11" s="31" t="s">
        <v>198</v>
      </c>
      <c r="DC11" s="35" t="s">
        <v>181</v>
      </c>
      <c r="DD11" s="35" t="s">
        <v>185</v>
      </c>
      <c r="DT11" s="33" t="s">
        <v>125</v>
      </c>
      <c r="DU11" s="31" t="e">
        <f>IFERROR(VALUE(BR131),BR131)</f>
        <v>#VALUE!</v>
      </c>
      <c r="ED11" s="31" t="e">
        <v>#N/A</v>
      </c>
      <c r="EG11" s="31">
        <v>7.4944455906666665E-2</v>
      </c>
      <c r="EY11" s="31" t="s">
        <v>197</v>
      </c>
      <c r="EZ11" s="31">
        <v>0.18566633997122894</v>
      </c>
      <c r="FE11" s="37" t="s">
        <v>202</v>
      </c>
      <c r="FF11" s="37" t="s">
        <v>201</v>
      </c>
      <c r="FH11" s="37" t="s">
        <v>202</v>
      </c>
      <c r="FI11" s="37" t="s">
        <v>201</v>
      </c>
      <c r="FL11" s="37" t="s">
        <v>202</v>
      </c>
      <c r="FM11" s="37" t="s">
        <v>201</v>
      </c>
      <c r="FO11" s="37" t="s">
        <v>202</v>
      </c>
      <c r="FP11" s="37" t="s">
        <v>201</v>
      </c>
      <c r="FS11" s="37" t="s">
        <v>202</v>
      </c>
      <c r="FT11" s="37" t="s">
        <v>201</v>
      </c>
    </row>
    <row r="12" spans="1:176" ht="20.25" customHeight="1">
      <c r="J12" s="31">
        <v>0.20156210629629631</v>
      </c>
      <c r="K12" s="31">
        <v>5.3895567500253021</v>
      </c>
      <c r="P12" s="31">
        <v>5.3895567500253021</v>
      </c>
      <c r="Q12" s="31">
        <v>0.20156210629629631</v>
      </c>
      <c r="T12" s="44" t="s">
        <v>196</v>
      </c>
      <c r="Y12" s="44" t="s">
        <v>195</v>
      </c>
      <c r="AW12" s="47" t="s">
        <v>194</v>
      </c>
      <c r="AX12" s="47" t="s">
        <v>193</v>
      </c>
      <c r="AZ12" s="47" t="s">
        <v>194</v>
      </c>
      <c r="BA12" s="47" t="s">
        <v>193</v>
      </c>
      <c r="BF12" s="33" t="s">
        <v>192</v>
      </c>
      <c r="BG12" s="31">
        <f>_xlfn.LET(_xlpm._alpha_1,T10,_xlpm._alpha_1*4)</f>
        <v>-2.6015764963205758E-2</v>
      </c>
      <c r="CA12" s="33"/>
      <c r="CE12" s="31" t="s">
        <v>191</v>
      </c>
      <c r="CP12" s="31" t="s">
        <v>190</v>
      </c>
      <c r="DC12" s="31" cm="1">
        <f t="array" ref="DC12:DC1012">_xlfn.LET(
    _xlpm._coefficients, TRANSPOSE(BG12:BG15),
    _xlpm._array_x,_xlfn.ANCHORARRAY( DD12),
    _xlfn.MAP(
        _xlpm._array_x,
        _xlfn.LAMBDA(_xlpm._x,
            SUM(
                _xlpm._coefficients *
                    _xlfn.HSTACK(_xlpm._x ^ {3,2,1}, 1)
            )
        )
    )
)</f>
        <v>0.17267030127796312</v>
      </c>
      <c r="DD12" s="31" cm="1">
        <f t="array" ref="DD12:DD1012">_xlfn.LET(
    _xlpm._rate_extrapolation, DD10,
    _xlpm._number_of_divisions, 1000,
    _xlpm._array_x,_xlfn.ANCHORARRAY( EG10),
    _xlpm._x0, _xlfn.TAKE(_xlpm._array_x, 1),
    _xlpm._x1, _xlfn.TAKE(_xlpm._array_x, -1),
    _xlpm._extrapolation, (_xlpm._x1 - _xlpm._x0) *
        _xlpm._rate_extrapolation,
    ((_xlpm._x1 - _xlpm._x0) + _xlpm._extrapolation) /
        _xlpm._number_of_divisions *
        (
            _xlfn.SEQUENCE(_xlpm._number_of_divisions + 1) -
                1
        ) + _xlpm._x0 - _xlpm._extrapolation / 2
)</f>
        <v>1.832382785185185E-2</v>
      </c>
      <c r="DS12" s="31" t="s">
        <v>189</v>
      </c>
      <c r="DT12" s="33"/>
      <c r="EG12" s="31">
        <v>0.13156508396148148</v>
      </c>
      <c r="EY12" s="31" t="s">
        <v>188</v>
      </c>
      <c r="EZ12" s="31">
        <v>5.3703258323470777</v>
      </c>
      <c r="FE12" s="47" t="s">
        <v>332</v>
      </c>
      <c r="FF12" s="47" t="s">
        <v>110</v>
      </c>
      <c r="FH12" s="47" t="s">
        <v>332</v>
      </c>
      <c r="FI12" s="47" t="s">
        <v>110</v>
      </c>
      <c r="FL12" s="47" t="s">
        <v>332</v>
      </c>
      <c r="FM12" s="47" t="s">
        <v>110</v>
      </c>
      <c r="FO12" s="47" t="s">
        <v>332</v>
      </c>
      <c r="FP12" s="47" t="s">
        <v>110</v>
      </c>
      <c r="FS12" s="47" t="s">
        <v>332</v>
      </c>
      <c r="FT12" s="47" t="s">
        <v>110</v>
      </c>
    </row>
    <row r="13" spans="1:176" ht="20.25" customHeight="1">
      <c r="C13" s="31" t="s">
        <v>525</v>
      </c>
      <c r="J13" s="31">
        <v>0.40312421259259262</v>
      </c>
      <c r="K13" s="31">
        <v>5.3672397457240235</v>
      </c>
      <c r="P13" s="31">
        <v>5.3672397457240235</v>
      </c>
      <c r="Q13" s="31">
        <v>0.40312421259259262</v>
      </c>
      <c r="T13" s="46" t="s">
        <v>186</v>
      </c>
      <c r="U13" s="46" t="s">
        <v>185</v>
      </c>
      <c r="V13" s="35" t="s">
        <v>184</v>
      </c>
      <c r="W13" s="35" t="s">
        <v>183</v>
      </c>
      <c r="X13" s="35" t="s">
        <v>182</v>
      </c>
      <c r="Y13" s="46" t="s">
        <v>181</v>
      </c>
      <c r="Z13" s="35" t="s">
        <v>180</v>
      </c>
      <c r="AA13" s="35" t="s">
        <v>179</v>
      </c>
      <c r="AW13" s="35" t="s">
        <v>84</v>
      </c>
      <c r="AX13" s="35" t="s">
        <v>84</v>
      </c>
      <c r="AZ13" s="35" t="s">
        <v>84</v>
      </c>
      <c r="BA13" s="35" t="s">
        <v>84</v>
      </c>
      <c r="BF13" s="33" t="s">
        <v>178</v>
      </c>
      <c r="BG13" s="31">
        <f>_xlfn.LET(_xlpm._alpha_2,U10,_xlpm._alpha_2*3)</f>
        <v>0.22186140872446131</v>
      </c>
      <c r="BP13" s="33"/>
      <c r="DC13" s="31">
        <v>0.16868450674741362</v>
      </c>
      <c r="DD13" s="31">
        <v>2.3985890657333333E-2</v>
      </c>
      <c r="DT13" s="33" t="s">
        <v>177</v>
      </c>
      <c r="DU13" s="31">
        <f>SIGN(BG12)</f>
        <v>-1</v>
      </c>
      <c r="EG13" s="31">
        <v>0.1881857120162963</v>
      </c>
      <c r="FE13" s="35" t="s">
        <v>296</v>
      </c>
      <c r="FF13" s="35" t="s">
        <v>92</v>
      </c>
      <c r="FH13" s="35" t="str" cm="1">
        <f t="array" ref="FH13">INDEX(入力1!$P$16:$P$20,入力1!$P$15)</f>
        <v>m</v>
      </c>
      <c r="FI13" s="35" t="str" cm="1">
        <f t="array" ref="FI13">INDEX(入力1!$O$16:$O$20,入力1!$O$15)</f>
        <v>L/s</v>
      </c>
      <c r="FL13" s="35" t="s">
        <v>296</v>
      </c>
      <c r="FM13" s="35" t="s">
        <v>92</v>
      </c>
      <c r="FO13" s="35" t="str" cm="1">
        <f t="array" ref="FO13">INDEX(入力1!$P$16:$P$20,入力1!$P$15)</f>
        <v>m</v>
      </c>
      <c r="FP13" s="35" t="str" cm="1">
        <f t="array" ref="FP13">INDEX(入力1!$O$16:$O$20,入力1!$O$15)</f>
        <v>L/s</v>
      </c>
      <c r="FS13" s="35" t="str" cm="1">
        <f t="array" ref="FS13">INDEX(入力1!$P$16:$P$20,入力1!$P$15)</f>
        <v>m</v>
      </c>
      <c r="FT13" s="35" t="str" cm="1">
        <f t="array" ref="FT13">INDEX(入力1!$O$16:$O$20,入力1!$O$15)</f>
        <v>L/s</v>
      </c>
    </row>
    <row r="14" spans="1:176" ht="20.25" customHeight="1">
      <c r="D14" s="33" t="s">
        <v>339</v>
      </c>
      <c r="E14" s="31">
        <f>BA9</f>
        <v>1.832382785185185E-2</v>
      </c>
      <c r="F14" s="31" t="s">
        <v>84</v>
      </c>
      <c r="J14" s="31">
        <v>0.59552440506172843</v>
      </c>
      <c r="K14" s="31">
        <v>5.3783982472693141</v>
      </c>
      <c r="P14" s="31">
        <v>5.3783982472693141</v>
      </c>
      <c r="Q14" s="31">
        <v>0.59552440506172843</v>
      </c>
      <c r="T14" s="31" cm="1">
        <f t="array" ref="T14:T47">_xlfn.ANCHORARRAY(P11)</f>
        <v>5.3783982472693141</v>
      </c>
      <c r="U14" s="44" cm="1">
        <f t="array" ref="U14:X47">_xlfn.ANCHORARRAY(Q11)^{1,2,3,4}</f>
        <v>1.832382785185185E-2</v>
      </c>
      <c r="V14" s="31">
        <v>3.3576266714430158E-4</v>
      </c>
      <c r="W14" s="31">
        <v>6.1524573118308155E-6</v>
      </c>
      <c r="X14" s="31">
        <v>1.1273656864785506E-7</v>
      </c>
      <c r="Y14" s="44" cm="1">
        <f t="array" ref="Y14:Y47">_xlfn.LET(_xlpm._coefficients,_xlfn.ANCHORARRAY( T10), _xlpm._array_x,_xlfn.ANCHORARRAY( Q11), _xlfn.MAP(_xlpm._array_x, _xlfn.LAMBDA(_xlpm._x, SUM(_xlpm._coefficients * _xlfn.HSTACK(_xlpm._x ^ {4,3,2,1}, 1)))))</f>
        <v>5.3736086550451327</v>
      </c>
      <c r="Z14" s="31" cm="1">
        <f t="array" ref="Z14:Z47">_xlfn.ANCHORARRAY(Y14)-_xlfn.ANCHORARRAY(T14)</f>
        <v>-4.7895922241814048E-3</v>
      </c>
      <c r="AA14" s="43" cm="1">
        <f t="array" ref="AA14:AA47">_xlfn.ANCHORARRAY(Z14) /_xlfn.ANCHORARRAY( T14)</f>
        <v>-8.9052390767328283E-4</v>
      </c>
      <c r="AW14" s="31" cm="1">
        <f t="array" ref="AW14:AW114">_xlfn.LET(
    _xlpm._alpha_1, $T$10,
    _xlpm._alpha_2, $U$10,
    _xlpm._alpha_3, $V$10,
    _xlpm._alpha_4, $W$10,
    _xlpm._alpha_5, $X$10,
    _xlpm._C_f,_xlfn.ANCHORARRAY( AX14),
    _xlpm._C_h, _xlpm._alpha_1 * _xlpm._C_f ^ 4 +
        _xlpm._alpha_2 * _xlpm._C_f ^ 3 +
        _xlpm._alpha_3 * _xlpm._C_f ^ 2 +
        _xlpm._alpha_4 * _xlpm._C_f +
        _xlpm._alpha_5,
    _xlpm._C_h
)</f>
        <v>4.1881863164356155</v>
      </c>
      <c r="AX14" s="31" cm="1">
        <f t="array" ref="AX14:AX114">_xlfn.LET(
    _xlpm._number_divisions, 100,
    _xlpm._rate_extrapolation, AX10,
    _xlpm._array_x,_xlfn.ANCHORARRAY( Q11),
    _xlpm._x0, _xlfn.TAKE(_xlpm._array_x, 1),
    _xlpm._x1, _xlfn.TAKE(_xlpm._array_x, -1),
    _xlpm._extrapolation, (_xlpm._x1 - _xlpm._x0) *
        _xlpm._rate_extrapolation,
    ((_xlpm._x1 - _xlpm._x0) + _xlpm._extrapolation) /
        _xlpm._number_divisions *
        (_xlfn.SEQUENCE(_xlpm._number_divisions + 1) - 1) +
        _xlpm._x0 - _xlpm._extrapolation / 2
)</f>
        <v>-1.3971918735185187</v>
      </c>
      <c r="AZ14" s="31" cm="1">
        <f t="array" ref="AZ14:AZ114">_xlfn.LET(
    _xlpm._alpha_1, $T$10,
    _xlpm._alpha_2, $U$10,
    _xlpm._alpha_3, $V$10,
    _xlpm._alpha_4, $W$10,
    _xlpm._alpha_5, $X$10,
    _xlpm._C_f,_xlfn.ANCHORARRAY( BA14),
    _xlpm._C_h, _xlpm._alpha_1 * _xlpm._C_f ^ 4 +
        _xlpm._alpha_2 * _xlpm._C_f ^ 3 +
        _xlpm._alpha_3 * _xlpm._C_f ^ 2 +
        _xlpm._alpha_4 * _xlpm._C_f +
        _xlpm._alpha_5,
    _xlpm._C_h
)</f>
        <v>5.3736086550451327</v>
      </c>
      <c r="BA14" s="31" cm="1">
        <f t="array" ref="BA14:BA114">_xlfn.LET(
    _xlpm._number_of_divsions, 100,
    _xlpm._C_f_min, BA9,
    _xlpm._C_f_max, BA10,
    (_xlpm._C_f_max - _xlpm._C_f_min) / _xlpm._number_of_divsions *
        (_xlfn.SEQUENCE(_xlpm._number_of_divsions + 1) - 1) + _xlpm._C_f_min
)</f>
        <v>1.832382785185185E-2</v>
      </c>
      <c r="BF14" s="33" t="s">
        <v>175</v>
      </c>
      <c r="BG14" s="31">
        <f>_xlfn.LET(_xlpm._alpha_3,V10,_xlpm._alpha_3*2)</f>
        <v>-0.71329918161129491</v>
      </c>
      <c r="BP14" s="33"/>
      <c r="BQ14" s="33" t="s">
        <v>174</v>
      </c>
      <c r="BR14" s="31" cm="1">
        <f t="array" ref="BR14:BR16">_xlfn.LET(
    _xlpm._a3, BG12,
    _xlpm._a2, BG13,
    _xlpm._a1, BG14,
    _xlpm._a0, BG15,
    _xlpm._A, _xlpm._a2 / _xlpm._a3,
    _xlpm._B, _xlpm._a1 / _xlpm._a3,
    _xlpm._C, _xlpm._a0 / _xlpm._a3,
    _xlfn.VSTACK(_xlpm._A, _xlpm._B, _xlpm._C)
)</f>
        <v>-8.5279602209752863</v>
      </c>
      <c r="CA14" s="33"/>
      <c r="CD14" s="31" t="s">
        <v>173</v>
      </c>
      <c r="CO14" s="31" t="s">
        <v>173</v>
      </c>
      <c r="DC14" s="31">
        <v>0.16471281747589508</v>
      </c>
      <c r="DD14" s="31">
        <v>2.9647953462814812E-2</v>
      </c>
      <c r="EG14" s="31">
        <v>0.24480634007111113</v>
      </c>
      <c r="FE14" s="31" cm="1">
        <f t="array" ref="FE14:FE114">_xlfn.LET(
    _xlpm._rho, B!$T$7,
    _xlpm._D, B!$T$9,
    _xlpm._N_r, B!$T$10,
    _xlpm._C_h,_xlfn.ANCHORARRAY( AZ14),
    _xlpm._dP, 10 ^ -3 * _xlpm._C_h * _xlpm._rho ^ 1 * _xlpm._N_r ^ 2 * _xlpm._D ^ 2,
    _xlpm._dP
)</f>
        <v>435.26230105865568</v>
      </c>
      <c r="FF14" s="31" cm="1">
        <f t="array" ref="FF14:FF114">_xlfn.LET(
    _xlpm._rho, B!$T$7,
    _xlpm._D, B!$T$9,
    _xlpm._N_r, B!$T$10,
    _xlpm._C_f,_xlfn.ANCHORARRAY( BA14),
    _xlpm._m, _xlpm._C_f * _xlpm._rho ^ 1 * _xlpm._N_r ^ 1 * _xlpm._D ^ 3,
    _xlpm._m
)</f>
        <v>14.842300559999998</v>
      </c>
      <c r="FH14" s="31" cm="1">
        <f t="array" ref="FH14:FH114">_xlfn.LET(
    _xlpm._number_unit, 入力1!P15,
    _xlpm._add_prefix_kilo, 10 ^ -3,
    _xlpm._remove_prefix_milli, 10 ^ -3,
    _xlpm._gravitational_acceleration__m_per_square_s, 9.80665,
    _xlpm._density_water__kg_per_cubic_m, 10 ^ 3,
    _xlpm._convert_units_from__mH2O__to__Pa, 9806.65,
    _xlpm._dP,_xlfn.ANCHORARRAY( FE14),
    _xlpm._dP_sample, IF(
        _xlpm._number_unit = 1,
        _xlpm._dP * _xlpm._add_prefix_kilo ^ -1,
        IF(
            _xlpm._number_unit = 2,
            _xlpm._dP,
            IF(
                _xlpm._number_unit = 3,
                _xlpm._dP * _xlpm._remove_prefix_milli ^ -1 *
                    _xlpm._convert_units_from__mH2O__to__Pa ^
                        -1 * _xlpm._add_prefix_kilo ^ -1,
                IF(
                    _xlpm._number_unit = 4,
                    _xlpm._dP *
                        _xlpm._density_water__kg_per_cubic_m ^
                            -1 *
                        _xlpm._gravitational_acceleration__m_per_square_s ^
                            -1 * _xlpm._add_prefix_kilo ^ -1,
                    NA()
                )
            )
        )
    ),
    _xlpm._dP_sample
)</f>
        <v>44.384402528759132</v>
      </c>
      <c r="FI14" s="31" cm="1">
        <f t="array" ref="FI14:FI114">_xlfn.LET(
    _xlpm._number_unit, 入力1!O15,
    _xlpm._density_water__kg_per_cubic_m, 10 ^ 3,
    _xlpm._convert_units_from__per_h__to__per_s, 60 ^ -2,
    _xlpm._convert_units_from__per_min__to__per_s, 60 ^ -1,
    _xlpm._convert_units_from__litre__to__cubic_m, 10 ^ -3,
    _xlpm._m,_xlfn.ANCHORARRAY( FF14),
    _xlpm._m_sample, _xlfn.SWITCH(
        _xlpm._number_unit,
        1, _xlpm._m * _xlpm._density_water__kg_per_cubic_m ^ -1 *
            _xlpm._convert_units_from__per_h__to__per_s ^ -1,
        2, _xlpm._m * _xlpm._density_water__kg_per_cubic_m ^ -1 *
            _xlpm._convert_units_from__per_min__to__per_s ^
                -1,
        3, _xlpm._m *
            _xlpm._convert_units_from__litre__to__cubic_m ^
                -1 *
            _xlpm._density_water__kg_per_cubic_m ^ -1 *
            _xlpm._convert_units_from__per_h__to__per_s ^ -1,
        4, _xlpm._m *
            _xlpm._convert_units_from__litre__to__cubic_m ^
                -1 *
            _xlpm._density_water__kg_per_cubic_m ^ -1 *
            _xlpm._convert_units_from__per_min__to__per_s ^
                -1,
        5, _xlpm._m *
            _xlpm._convert_units_from__litre__to__cubic_m ^
                -1 *
            _xlpm._density_water__kg_per_cubic_m ^ -1,
        NA()
    ),
    _xlpm._m_sample
)</f>
        <v>14.842300559999998</v>
      </c>
      <c r="FL14" s="31" cm="1">
        <f t="array" ref="FL14:FL47">_xlfn.LET(
    _xlpm._rho, B!$T$7,
    _xlpm._D, B!$T$9,
    _xlpm._N_r, B!$T$10,
    _xlpm._C_h,_xlfn.ANCHORARRAY( P11),
    _xlpm._dP, 10 ^ -3 * _xlpm._C_h * _xlpm._rho ^ 1 * _xlpm._N_r ^ 2 * _xlpm._D ^ 2,
    _xlpm._dP
)</f>
        <v>435.65025802881445</v>
      </c>
      <c r="FM14" s="31" cm="1">
        <f t="array" ref="FM14:FM114">_xlfn.LET(
    _xlpm._rho, B!$T$7,
    _xlpm._D, B!$T$9,
    _xlpm._N_r, B!$T$10,
    _xlpm._C_f, Q11:Q111,
    _xlpm._m, _xlpm._C_f * _xlpm._rho ^ 1 * _xlpm._N_r ^ 1 * _xlpm._D ^ 3,
    _xlpm._m
)</f>
        <v>14.842300559999998</v>
      </c>
      <c r="FO14" s="31" cm="1">
        <f t="array" ref="FO14:FO47">_xlfn.LET(
    _xlpm._number_unit,入力1!P15,
    _xlpm._add_prefix_kilo, 10 ^ -3,
    _xlpm._remove_prefix_milli, 10 ^ -3,
    _xlpm._gravitational_acceleration, 9.80665,
    _xlpm._density_of_water_kg_per_cubic_m, 10 ^ 3,
    _xlpm._convert_mH2O_To_Pa, 9806.65,
    _xlpm._dP,_xlfn.ANCHORARRAY( FL14),
    _xlpm._dP_sample, IF(
        _xlpm._number_unit = 1,
        _xlpm._dP * _xlpm._add_prefix_kilo ^ -1,
        IF(
            _xlpm._number_unit = 2,
            _xlpm._dP,
            IF(
                _xlpm._number_unit = 3,
                _xlpm._dP * _xlpm._remove_prefix_milli ^ -1 * _xlpm._convert_mH2O_To_Pa ^ -1 *
                    _xlpm._add_prefix_kilo ^ -1,
                IF(
                    _xlpm._number_unit = 4,
                    _xlpm._dP * _xlpm._density_of_water_kg_per_cubic_m ^ -1 *
                        _xlpm._gravitational_acceleration ^ -1 * _xlpm._add_prefix_kilo ^ -1,
                    NA()
                )
            )
        )
    ),
    _xlpm._dP_sample
)</f>
        <v>44.423963130000004</v>
      </c>
      <c r="FP14" s="31" cm="1">
        <f t="array" ref="FP14:FP114">_xlfn.LET(
    _xlpm._number_unit, 入力1!O15,
    _xlpm._density_water__kg_per_cubic_m, 10 ^ 3,
    _xlpm._convert_units_from__per_h__to__per_s, 60 ^ -2,
    _xlpm._convert_units_from__per_min__to__per_s, 60 ^ -1,
    _xlpm._convert_units_from__litre__to__cubic_m, 10 ^ -3,
    _xlpm._m,_xlfn.ANCHORARRAY( FM14),
    _xlpm._m_sample, _xlfn.SWITCH(
        _xlpm._number_unit,
        1, _xlpm._m * _xlpm._density_water__kg_per_cubic_m ^ -1 *
            _xlpm._convert_units_from__per_h__to__per_s ^ -1,
        2, _xlpm._m * _xlpm._density_water__kg_per_cubic_m ^ -1 *
            _xlpm._convert_units_from__per_min__to__per_s ^
                -1,
        3, _xlpm._m *
            _xlpm._convert_units_from__litre__to__cubic_m ^
                -1 *
            _xlpm._density_water__kg_per_cubic_m ^ -1 *
            _xlpm._convert_units_from__per_h__to__per_s ^ -1,
        4, _xlpm._m *
            _xlpm._convert_units_from__litre__to__cubic_m ^
                -1 *
            _xlpm._density_water__kg_per_cubic_m ^ -1 *
            _xlpm._convert_units_from__per_min__to__per_s ^
                -1,
        5, _xlpm._m *
            _xlpm._convert_units_from__litre__to__cubic_m ^
                -1 *
            _xlpm._density_water__kg_per_cubic_m ^ -1,
        NA()
    ),
    _xlpm._m_sample
)</f>
        <v>14.842300559999998</v>
      </c>
      <c r="FS14" s="31">
        <v>0</v>
      </c>
      <c r="FT14" s="31">
        <f>入力2!I7</f>
        <v>2550</v>
      </c>
    </row>
    <row r="15" spans="1:176" ht="20.25" customHeight="1">
      <c r="D15" s="33" t="s">
        <v>340</v>
      </c>
      <c r="E15" s="31">
        <f>BA10</f>
        <v>5.6803866333333337</v>
      </c>
      <c r="F15" s="31" t="s">
        <v>84</v>
      </c>
      <c r="J15" s="31">
        <v>0.82457225308641968</v>
      </c>
      <c r="K15" s="31">
        <v>5.3226057347000735</v>
      </c>
      <c r="P15" s="31">
        <v>5.3226057347000735</v>
      </c>
      <c r="Q15" s="31">
        <v>0.82457225308641968</v>
      </c>
      <c r="T15" s="31">
        <v>5.3895567500253021</v>
      </c>
      <c r="U15" s="44">
        <v>0.20156210629629631</v>
      </c>
      <c r="V15" s="31">
        <v>4.0627282694599455E-2</v>
      </c>
      <c r="W15" s="31">
        <v>8.1889206730185356E-3</v>
      </c>
      <c r="X15" s="31">
        <v>1.6505760991469003E-3</v>
      </c>
      <c r="Y15" s="44">
        <v>5.3938542937269496</v>
      </c>
      <c r="Z15" s="31">
        <v>4.2975437016474771E-3</v>
      </c>
      <c r="AA15" s="43">
        <v>7.9738351426159515E-4</v>
      </c>
      <c r="AW15" s="31">
        <v>4.326118437271214</v>
      </c>
      <c r="AX15" s="31">
        <v>-1.3122609314362965</v>
      </c>
      <c r="AZ15" s="31">
        <v>5.3822682364092449</v>
      </c>
      <c r="BA15" s="31">
        <v>7.4944455906666665E-2</v>
      </c>
      <c r="BF15" s="33" t="s">
        <v>171</v>
      </c>
      <c r="BG15" s="31">
        <f>_xlfn.LET(_xlpm._alpha_4,W10,_xlpm._alpha_4*1)</f>
        <v>0.18566633997122894</v>
      </c>
      <c r="BQ15" s="33" t="s">
        <v>170</v>
      </c>
      <c r="BR15" s="31">
        <v>27.417959172836852</v>
      </c>
      <c r="CA15" s="33"/>
      <c r="DC15" s="31">
        <v>0.16075520512914598</v>
      </c>
      <c r="DD15" s="31">
        <v>3.5310016268296295E-2</v>
      </c>
      <c r="DS15" s="31" t="s">
        <v>169</v>
      </c>
      <c r="EG15" s="31">
        <v>0.3014269681259259</v>
      </c>
      <c r="FE15" s="31">
        <v>435.96372714914895</v>
      </c>
      <c r="FF15" s="31">
        <v>60.705009284399992</v>
      </c>
      <c r="FH15" s="31">
        <v>44.455928084427299</v>
      </c>
      <c r="FI15" s="31">
        <v>60.705009284399999</v>
      </c>
      <c r="FL15" s="31">
        <v>436.55409675204942</v>
      </c>
      <c r="FM15" s="31">
        <v>163.2653061</v>
      </c>
      <c r="FO15" s="31">
        <v>44.516129029999995</v>
      </c>
      <c r="FP15" s="31">
        <v>163.26530610000003</v>
      </c>
      <c r="FS15" s="31">
        <v>1</v>
      </c>
      <c r="FT15" s="31">
        <f>FT14</f>
        <v>2550</v>
      </c>
    </row>
    <row r="16" spans="1:176" ht="20.25" customHeight="1">
      <c r="J16" s="31">
        <v>1.0169724455555555</v>
      </c>
      <c r="K16" s="31">
        <v>5.2668132221308346</v>
      </c>
      <c r="P16" s="31">
        <v>5.2668132221308346</v>
      </c>
      <c r="Q16" s="31">
        <v>1.0169724455555555</v>
      </c>
      <c r="T16" s="31">
        <v>5.3672397457240235</v>
      </c>
      <c r="U16" s="44">
        <v>0.40312421259259262</v>
      </c>
      <c r="V16" s="31">
        <v>0.16250913077839782</v>
      </c>
      <c r="W16" s="31">
        <v>6.5511365384148285E-2</v>
      </c>
      <c r="X16" s="31">
        <v>2.6409217586350404E-2</v>
      </c>
      <c r="Y16" s="44">
        <v>5.3918866650630974</v>
      </c>
      <c r="Z16" s="31">
        <v>2.4646919339073925E-2</v>
      </c>
      <c r="AA16" s="43">
        <v>4.5921032982939973E-3</v>
      </c>
      <c r="AW16" s="31">
        <v>4.4537350640369127</v>
      </c>
      <c r="AX16" s="31">
        <v>-1.2273299893540743</v>
      </c>
      <c r="AZ16" s="31">
        <v>5.3887461267354544</v>
      </c>
      <c r="BA16" s="31">
        <v>0.13156508396148148</v>
      </c>
      <c r="BQ16" s="33" t="s">
        <v>168</v>
      </c>
      <c r="BR16" s="31">
        <v>-7.1366857839397717</v>
      </c>
      <c r="CA16" s="33"/>
      <c r="DC16" s="31">
        <v>0.15681164137290482</v>
      </c>
      <c r="DD16" s="31">
        <v>4.0972079073777777E-2</v>
      </c>
      <c r="EG16" s="31">
        <v>0.35804759618074072</v>
      </c>
      <c r="FE16" s="31">
        <v>436.48843626557175</v>
      </c>
      <c r="FF16" s="31">
        <v>106.56771800880001</v>
      </c>
      <c r="FH16" s="31">
        <v>44.509433523738664</v>
      </c>
      <c r="FI16" s="31">
        <v>106.56771800880001</v>
      </c>
      <c r="FL16" s="31">
        <v>434.74641940364592</v>
      </c>
      <c r="FM16" s="31">
        <v>326.53061220000001</v>
      </c>
      <c r="FO16" s="31">
        <v>44.33179724</v>
      </c>
      <c r="FP16" s="31">
        <v>326.53061220000006</v>
      </c>
    </row>
    <row r="17" spans="3:172" ht="20.25" customHeight="1">
      <c r="C17" s="31" t="s">
        <v>187</v>
      </c>
      <c r="J17" s="31">
        <v>1.1544011544444444</v>
      </c>
      <c r="K17" s="31">
        <v>5.2221792111068828</v>
      </c>
      <c r="P17" s="31">
        <v>5.2221792111068828</v>
      </c>
      <c r="Q17" s="31">
        <v>1.1544011544444444</v>
      </c>
      <c r="T17" s="31">
        <v>5.3783982472693141</v>
      </c>
      <c r="U17" s="44">
        <v>0.59552440506172843</v>
      </c>
      <c r="V17" s="31">
        <v>0.35464931702412561</v>
      </c>
      <c r="W17" s="31">
        <v>0.21120232352634072</v>
      </c>
      <c r="X17" s="31">
        <v>0.12577613806567875</v>
      </c>
      <c r="Y17" s="44">
        <v>5.3692103095986123</v>
      </c>
      <c r="Z17" s="31">
        <v>-9.1879376707018068E-3</v>
      </c>
      <c r="AA17" s="43">
        <v>-1.7083037083329869E-3</v>
      </c>
      <c r="AW17" s="31">
        <v>4.5714294625383118</v>
      </c>
      <c r="AX17" s="31">
        <v>-1.1423990472718519</v>
      </c>
      <c r="AZ17" s="31">
        <v>5.3931199448611284</v>
      </c>
      <c r="BA17" s="31">
        <v>0.1881857120162963</v>
      </c>
      <c r="DC17" s="31">
        <v>0.1528820978729101</v>
      </c>
      <c r="DD17" s="31">
        <v>4.663414187925926E-2</v>
      </c>
      <c r="DS17" s="31" t="s">
        <v>167</v>
      </c>
      <c r="EG17" s="31">
        <v>0.41466822423555555</v>
      </c>
      <c r="FE17" s="31">
        <v>436.8427155337514</v>
      </c>
      <c r="FF17" s="31">
        <v>152.43042673319999</v>
      </c>
      <c r="FH17" s="31">
        <v>44.545559955107144</v>
      </c>
      <c r="FI17" s="31">
        <v>152.43042673319999</v>
      </c>
      <c r="FL17" s="31">
        <v>435.65025802881445</v>
      </c>
      <c r="FM17" s="31">
        <v>482.37476809999998</v>
      </c>
      <c r="FO17" s="31">
        <v>44.423963130000004</v>
      </c>
      <c r="FP17" s="31">
        <v>482.37476809999998</v>
      </c>
    </row>
    <row r="18" spans="3:172" ht="20.25" customHeight="1">
      <c r="D18" s="33" t="s">
        <v>176</v>
      </c>
      <c r="E18" s="31" t="b">
        <f>EU7</f>
        <v>1</v>
      </c>
      <c r="J18" s="31">
        <v>1.291829862962963</v>
      </c>
      <c r="K18" s="31">
        <v>5.1775452012936292</v>
      </c>
      <c r="P18" s="31">
        <v>5.1775452012936292</v>
      </c>
      <c r="Q18" s="31">
        <v>1.291829862962963</v>
      </c>
      <c r="T18" s="31">
        <v>5.3226057347000735</v>
      </c>
      <c r="U18" s="44">
        <v>0.82457225308641968</v>
      </c>
      <c r="V18" s="31">
        <v>0.67991940056001454</v>
      </c>
      <c r="W18" s="31">
        <v>0.56064267203693907</v>
      </c>
      <c r="X18" s="31">
        <v>0.46229039125788951</v>
      </c>
      <c r="Y18" s="44">
        <v>5.319383116757705</v>
      </c>
      <c r="Z18" s="31">
        <v>-3.2226179423684442E-3</v>
      </c>
      <c r="AA18" s="43">
        <v>-6.0545869880216426E-4</v>
      </c>
      <c r="AW18" s="31">
        <v>4.6795867767936228</v>
      </c>
      <c r="AX18" s="31">
        <v>-1.0574681051896297</v>
      </c>
      <c r="AZ18" s="31">
        <v>5.3954657053199497</v>
      </c>
      <c r="BA18" s="31">
        <v>0.24480634007111113</v>
      </c>
      <c r="DC18" s="31">
        <v>0.1489665462949003</v>
      </c>
      <c r="DD18" s="31">
        <v>5.2296204684740735E-2</v>
      </c>
      <c r="DS18" s="31" t="s">
        <v>166</v>
      </c>
      <c r="EG18" s="31">
        <v>0.47128885229037037</v>
      </c>
      <c r="FE18" s="31">
        <v>437.03272213091594</v>
      </c>
      <c r="FF18" s="31">
        <v>198.29313545760002</v>
      </c>
      <c r="FH18" s="31">
        <v>44.564935235877286</v>
      </c>
      <c r="FI18" s="31">
        <v>198.29313545760004</v>
      </c>
      <c r="FL18" s="31">
        <v>431.13106451070593</v>
      </c>
      <c r="FM18" s="31">
        <v>667.90352499999983</v>
      </c>
      <c r="FO18" s="31">
        <v>43.963133640000002</v>
      </c>
      <c r="FP18" s="31">
        <v>667.90352499999983</v>
      </c>
    </row>
    <row r="19" spans="3:172" ht="20.25" customHeight="1">
      <c r="D19" s="33" t="s">
        <v>172</v>
      </c>
      <c r="E19" s="31">
        <f>EP9</f>
        <v>0.28465364146978933</v>
      </c>
      <c r="F19" s="31" t="s">
        <v>84</v>
      </c>
      <c r="J19" s="31">
        <v>1.4567443135802469</v>
      </c>
      <c r="K19" s="31">
        <v>5.0882771804564246</v>
      </c>
      <c r="P19" s="31">
        <v>5.0882771804564246</v>
      </c>
      <c r="Q19" s="31">
        <v>1.4567443135802469</v>
      </c>
      <c r="T19" s="31">
        <v>5.2668132221308346</v>
      </c>
      <c r="U19" s="44">
        <v>1.0169724455555555</v>
      </c>
      <c r="V19" s="31">
        <v>1.0342329550192475</v>
      </c>
      <c r="W19" s="31">
        <v>1.0517864175400731</v>
      </c>
      <c r="X19" s="31">
        <v>1.0696378052478448</v>
      </c>
      <c r="Y19" s="44">
        <v>5.2611113679495976</v>
      </c>
      <c r="Z19" s="31">
        <v>-5.7018541812370316E-3</v>
      </c>
      <c r="AA19" s="43">
        <v>-1.0826004152336712E-3</v>
      </c>
      <c r="AW19" s="31">
        <v>4.7785840290336647</v>
      </c>
      <c r="AX19" s="31">
        <v>-0.97253716310740757</v>
      </c>
      <c r="AZ19" s="31">
        <v>5.395857818341919</v>
      </c>
      <c r="BA19" s="31">
        <v>0.3014269681259259</v>
      </c>
      <c r="DC19" s="31">
        <v>0.14506495830461388</v>
      </c>
      <c r="DD19" s="31">
        <v>5.7958267490222218E-2</v>
      </c>
      <c r="DS19" s="31" t="s">
        <v>165</v>
      </c>
      <c r="EG19" s="31">
        <v>0.52790948034518514</v>
      </c>
      <c r="FE19" s="31">
        <v>437.06448328569547</v>
      </c>
      <c r="FF19" s="31">
        <v>244.15584418199998</v>
      </c>
      <c r="FH19" s="31">
        <v>44.568173972324445</v>
      </c>
      <c r="FI19" s="31">
        <v>244.15584418199998</v>
      </c>
      <c r="FL19" s="31">
        <v>426.61187099259757</v>
      </c>
      <c r="FM19" s="31">
        <v>823.74768089999998</v>
      </c>
      <c r="FO19" s="31">
        <v>43.502304150000008</v>
      </c>
      <c r="FP19" s="31">
        <v>823.74768090000009</v>
      </c>
    </row>
    <row r="20" spans="3:172" ht="20.25" customHeight="1">
      <c r="J20" s="31">
        <v>1.6674683345679011</v>
      </c>
      <c r="K20" s="31">
        <v>4.9878506568632339</v>
      </c>
      <c r="P20" s="31">
        <v>4.9878506568632339</v>
      </c>
      <c r="Q20" s="31">
        <v>1.6674683345679011</v>
      </c>
      <c r="T20" s="31">
        <v>5.2221792111068828</v>
      </c>
      <c r="U20" s="44">
        <v>1.1544011544444444</v>
      </c>
      <c r="V20" s="31">
        <v>1.3326420253826659</v>
      </c>
      <c r="W20" s="31">
        <v>1.538403492562932</v>
      </c>
      <c r="X20" s="31">
        <v>1.7759347678160138</v>
      </c>
      <c r="Y20" s="44">
        <v>5.2115932498130446</v>
      </c>
      <c r="Z20" s="31">
        <v>-1.0585961293838153E-2</v>
      </c>
      <c r="AA20" s="43">
        <v>-2.0271156668318119E-3</v>
      </c>
      <c r="AW20" s="31">
        <v>4.8687901197018659</v>
      </c>
      <c r="AX20" s="31">
        <v>-0.88760622102518538</v>
      </c>
      <c r="AZ20" s="31">
        <v>5.3943690898533552</v>
      </c>
      <c r="BA20" s="31">
        <v>0.35804759618074072</v>
      </c>
      <c r="DC20" s="31">
        <v>0.14117730556778935</v>
      </c>
      <c r="DD20" s="31">
        <v>6.36203302957037E-2</v>
      </c>
      <c r="DT20" s="33" t="s">
        <v>164</v>
      </c>
      <c r="DU20" s="31">
        <f>_xlfn.LET(_xlpm._a3, BG12, _xlpm._a2, BG13, _xlpm._a1, BG14, _xlpm._a0, BG15, -4 * _xlpm._a1 ^ 3 * _xlpm._a3 + _xlpm._a1 ^ 2 * _xlpm._a2 ^ 2 - 4 * _xlpm._a0 * _xlpm._a2 ^ 3 + 18 * _xlpm._a0 * _xlpm._a1 * _xlpm._a2 * _xlpm._a3 - 27 * _xlpm._a0 ^ 2 * _xlpm._a3 ^ 2)</f>
        <v>-7.7037406110168436E-3</v>
      </c>
      <c r="EG20" s="31">
        <v>0.58453010839999997</v>
      </c>
      <c r="FE20" s="31">
        <v>436.94389627812177</v>
      </c>
      <c r="FF20" s="31">
        <v>290.01855290639998</v>
      </c>
      <c r="FH20" s="31">
        <v>44.555877519654707</v>
      </c>
      <c r="FI20" s="31">
        <v>290.01855290640003</v>
      </c>
      <c r="FL20" s="31">
        <v>422.99651609965753</v>
      </c>
      <c r="FM20" s="31">
        <v>935.06493509999984</v>
      </c>
      <c r="FO20" s="31">
        <v>43.133640550000003</v>
      </c>
      <c r="FP20" s="31">
        <v>935.06493509999996</v>
      </c>
    </row>
    <row r="21" spans="3:172" ht="20.25" customHeight="1">
      <c r="J21" s="31">
        <v>1.8873542679012347</v>
      </c>
      <c r="K21" s="31">
        <v>4.8539486262127767</v>
      </c>
      <c r="P21" s="31">
        <v>4.8539486262127767</v>
      </c>
      <c r="Q21" s="31">
        <v>1.8873542679012347</v>
      </c>
      <c r="T21" s="31">
        <v>5.1775452012936292</v>
      </c>
      <c r="U21" s="44">
        <v>1.291829862962963</v>
      </c>
      <c r="V21" s="31">
        <v>1.6688243948429078</v>
      </c>
      <c r="W21" s="31">
        <v>2.155837189299163</v>
      </c>
      <c r="X21" s="31">
        <v>2.7849748608227975</v>
      </c>
      <c r="Y21" s="44">
        <v>5.1563086630693382</v>
      </c>
      <c r="Z21" s="31">
        <v>-2.1236538224290946E-2</v>
      </c>
      <c r="AA21" s="43">
        <v>-4.1016615787313488E-3</v>
      </c>
      <c r="AW21" s="31">
        <v>4.9505658274542634</v>
      </c>
      <c r="AX21" s="31">
        <v>-0.80267527894296309</v>
      </c>
      <c r="AZ21" s="31">
        <v>5.3910707214768969</v>
      </c>
      <c r="BA21" s="31">
        <v>0.41466822423555555</v>
      </c>
      <c r="DC21" s="31">
        <v>0.13730355975016523</v>
      </c>
      <c r="DD21" s="31">
        <v>6.9282393101185183E-2</v>
      </c>
      <c r="DT21" s="33"/>
      <c r="EG21" s="31">
        <v>0.6411507364548148</v>
      </c>
      <c r="FE21" s="31">
        <v>436.67672843962862</v>
      </c>
      <c r="FF21" s="31">
        <v>335.8812616308</v>
      </c>
      <c r="FH21" s="31">
        <v>44.528633982004934</v>
      </c>
      <c r="FI21" s="31">
        <v>335.8812616308</v>
      </c>
      <c r="FL21" s="31">
        <v>419.38116130478392</v>
      </c>
      <c r="FM21" s="31">
        <v>1046.3821889999999</v>
      </c>
      <c r="FO21" s="31">
        <v>42.764976959999991</v>
      </c>
      <c r="FP21" s="31">
        <v>1046.3821889999999</v>
      </c>
    </row>
    <row r="22" spans="3:172" ht="20.25" customHeight="1">
      <c r="J22" s="31">
        <v>2.1255640308641981</v>
      </c>
      <c r="K22" s="31">
        <v>4.7200465955623203</v>
      </c>
      <c r="P22" s="31">
        <v>4.7200465955623203</v>
      </c>
      <c r="Q22" s="31">
        <v>2.1255640308641981</v>
      </c>
      <c r="T22" s="31">
        <v>5.0882771804564246</v>
      </c>
      <c r="U22" s="44">
        <v>1.4567443135802469</v>
      </c>
      <c r="V22" s="31">
        <v>2.1221039951483847</v>
      </c>
      <c r="W22" s="31">
        <v>3.0913629277583334</v>
      </c>
      <c r="X22" s="31">
        <v>4.5033253662247352</v>
      </c>
      <c r="Y22" s="44">
        <v>5.0832753769135977</v>
      </c>
      <c r="Z22" s="31">
        <v>-5.0018035428269769E-3</v>
      </c>
      <c r="AA22" s="43">
        <v>-9.8300532094407417E-4</v>
      </c>
      <c r="AW22" s="31">
        <v>5.0242638091595033</v>
      </c>
      <c r="AX22" s="31">
        <v>-0.71774433686074091</v>
      </c>
      <c r="AZ22" s="31">
        <v>5.3860323105314967</v>
      </c>
      <c r="BA22" s="31">
        <v>0.47128885229037037</v>
      </c>
      <c r="CD22" s="31" t="s">
        <v>163</v>
      </c>
      <c r="CO22" s="31" t="s">
        <v>163</v>
      </c>
      <c r="DC22" s="31">
        <v>0.13344369251747995</v>
      </c>
      <c r="DD22" s="31">
        <v>7.4944455906666665E-2</v>
      </c>
      <c r="EG22" s="31">
        <v>0.69777136450962962</v>
      </c>
      <c r="FE22" s="31">
        <v>436.26861715305125</v>
      </c>
      <c r="FF22" s="31">
        <v>381.74397035519996</v>
      </c>
      <c r="FH22" s="31">
        <v>44.487018212442706</v>
      </c>
      <c r="FI22" s="31">
        <v>381.74397035519996</v>
      </c>
      <c r="FL22" s="31">
        <v>412.15045161697037</v>
      </c>
      <c r="FM22" s="31">
        <v>1179.962894</v>
      </c>
      <c r="FO22" s="31">
        <v>42.027649769999996</v>
      </c>
      <c r="FP22" s="31">
        <v>1179.962894</v>
      </c>
    </row>
    <row r="23" spans="3:172" ht="20.25" customHeight="1">
      <c r="J23" s="31">
        <v>2.3088023086419751</v>
      </c>
      <c r="K23" s="31">
        <v>4.5973030664571546</v>
      </c>
      <c r="P23" s="31">
        <v>4.5973030664571546</v>
      </c>
      <c r="Q23" s="31">
        <v>2.3088023086419751</v>
      </c>
      <c r="T23" s="31">
        <v>4.9878506568632339</v>
      </c>
      <c r="U23" s="44">
        <v>1.6674683345679011</v>
      </c>
      <c r="V23" s="31">
        <v>2.7804506467866497</v>
      </c>
      <c r="W23" s="31">
        <v>4.6363134093455782</v>
      </c>
      <c r="X23" s="31">
        <v>7.7309057992162984</v>
      </c>
      <c r="Y23" s="44">
        <v>4.9808636406513633</v>
      </c>
      <c r="Z23" s="31">
        <v>-6.9870162118705892E-3</v>
      </c>
      <c r="AA23" s="43">
        <v>-1.4008070194035426E-3</v>
      </c>
      <c r="AW23" s="31">
        <v>5.0902285998988388</v>
      </c>
      <c r="AX23" s="31">
        <v>-0.63281339477851872</v>
      </c>
      <c r="AZ23" s="31">
        <v>5.3793218500324285</v>
      </c>
      <c r="BA23" s="31">
        <v>0.52790948034518514</v>
      </c>
      <c r="DC23" s="31">
        <v>0.12959767553547205</v>
      </c>
      <c r="DD23" s="31">
        <v>8.0606518712148148E-2</v>
      </c>
      <c r="DS23" s="31" t="s">
        <v>162</v>
      </c>
      <c r="EG23" s="31">
        <v>0.75439199256444445</v>
      </c>
      <c r="FE23" s="31">
        <v>435.72506985262669</v>
      </c>
      <c r="FF23" s="31">
        <v>427.60667907959993</v>
      </c>
      <c r="FH23" s="31">
        <v>44.431591812966381</v>
      </c>
      <c r="FI23" s="31">
        <v>427.60667907959993</v>
      </c>
      <c r="FL23" s="31">
        <v>404.01590320592197</v>
      </c>
      <c r="FM23" s="31">
        <v>1350.649351</v>
      </c>
      <c r="FO23" s="31">
        <v>41.198156680000004</v>
      </c>
      <c r="FP23" s="31">
        <v>1350.649351</v>
      </c>
    </row>
    <row r="24" spans="3:172" ht="20.25" customHeight="1">
      <c r="J24" s="31">
        <v>2.5470120703703705</v>
      </c>
      <c r="K24" s="31">
        <v>4.4857180401079759</v>
      </c>
      <c r="P24" s="31">
        <v>4.4857180401079759</v>
      </c>
      <c r="Q24" s="31">
        <v>2.5470120703703705</v>
      </c>
      <c r="T24" s="31">
        <v>4.8539486262127767</v>
      </c>
      <c r="U24" s="44">
        <v>1.8873542679012347</v>
      </c>
      <c r="V24" s="31">
        <v>3.5621061325650056</v>
      </c>
      <c r="W24" s="31">
        <v>6.7229562120137247</v>
      </c>
      <c r="X24" s="31">
        <v>12.688600099657222</v>
      </c>
      <c r="Y24" s="44">
        <v>4.8649825660989947</v>
      </c>
      <c r="Z24" s="31">
        <v>1.1033939886218036E-2</v>
      </c>
      <c r="AA24" s="43">
        <v>2.2731884360356544E-3</v>
      </c>
      <c r="AW24" s="31">
        <v>5.1487966129661338</v>
      </c>
      <c r="AX24" s="31">
        <v>-0.54788245269629643</v>
      </c>
      <c r="AZ24" s="31">
        <v>5.3710057286912809</v>
      </c>
      <c r="BA24" s="31">
        <v>0.58453010839999997</v>
      </c>
      <c r="DC24" s="31">
        <v>0.12576548046987998</v>
      </c>
      <c r="DD24" s="31">
        <v>8.6268581517629631E-2</v>
      </c>
      <c r="DS24" s="31" t="s">
        <v>161</v>
      </c>
      <c r="EG24" s="31">
        <v>0.81101262061925927</v>
      </c>
      <c r="FE24" s="31">
        <v>435.05146402399373</v>
      </c>
      <c r="FF24" s="31">
        <v>473.46938780400001</v>
      </c>
      <c r="FH24" s="31">
        <v>44.362903134505032</v>
      </c>
      <c r="FI24" s="31">
        <v>473.46938780400001</v>
      </c>
      <c r="FL24" s="31">
        <v>393.16983872323488</v>
      </c>
      <c r="FM24" s="31">
        <v>1528.7569570000003</v>
      </c>
      <c r="FO24" s="31">
        <v>40.092165899999991</v>
      </c>
      <c r="FP24" s="31">
        <v>1528.7569570000003</v>
      </c>
    </row>
    <row r="25" spans="3:172" ht="20.25" customHeight="1">
      <c r="J25" s="31">
        <v>2.7302503493827155</v>
      </c>
      <c r="K25" s="31">
        <v>4.3518160094575196</v>
      </c>
      <c r="P25" s="31">
        <v>4.3518160094575196</v>
      </c>
      <c r="Q25" s="31">
        <v>2.7302503493827155</v>
      </c>
      <c r="T25" s="31">
        <v>4.7200465955623203</v>
      </c>
      <c r="U25" s="44">
        <v>2.1255640308641981</v>
      </c>
      <c r="V25" s="31">
        <v>4.5180224493036576</v>
      </c>
      <c r="W25" s="31">
        <v>9.6033460088768194</v>
      </c>
      <c r="X25" s="31">
        <v>20.412526852411823</v>
      </c>
      <c r="Y25" s="44">
        <v>4.7310627513121606</v>
      </c>
      <c r="Z25" s="31">
        <v>1.1016155749840273E-2</v>
      </c>
      <c r="AA25" s="43">
        <v>2.3339082627271963E-3</v>
      </c>
      <c r="AW25" s="31">
        <v>5.2002961398678593</v>
      </c>
      <c r="AX25" s="31">
        <v>-0.46295151061407425</v>
      </c>
      <c r="AZ25" s="31">
        <v>5.3611487309159633</v>
      </c>
      <c r="BA25" s="31">
        <v>0.6411507364548148</v>
      </c>
      <c r="DC25" s="31">
        <v>0.12194707898644226</v>
      </c>
      <c r="DD25" s="31">
        <v>9.1930644323111113E-2</v>
      </c>
      <c r="DS25" s="31" t="s">
        <v>160</v>
      </c>
      <c r="EG25" s="31">
        <v>0.8676332486740741</v>
      </c>
      <c r="FE25" s="31">
        <v>434.25304720419302</v>
      </c>
      <c r="FF25" s="31">
        <v>519.33209652840003</v>
      </c>
      <c r="FH25" s="31">
        <v>44.281487276918533</v>
      </c>
      <c r="FI25" s="31">
        <v>519.33209652840003</v>
      </c>
      <c r="FL25" s="31">
        <v>382.32377424054795</v>
      </c>
      <c r="FM25" s="31">
        <v>1721.7068650000006</v>
      </c>
      <c r="FO25" s="31">
        <v>38.986175119999999</v>
      </c>
      <c r="FP25" s="31">
        <v>1721.7068650000006</v>
      </c>
    </row>
    <row r="26" spans="3:172" ht="20.25" customHeight="1">
      <c r="J26" s="31">
        <v>2.9684601111111117</v>
      </c>
      <c r="K26" s="31">
        <v>4.1844384705390993</v>
      </c>
      <c r="P26" s="31">
        <v>4.1844384705390993</v>
      </c>
      <c r="Q26" s="31">
        <v>2.9684601111111117</v>
      </c>
      <c r="T26" s="31">
        <v>4.5973030664571546</v>
      </c>
      <c r="U26" s="44">
        <v>2.3088023086419751</v>
      </c>
      <c r="V26" s="31">
        <v>5.3305681003905141</v>
      </c>
      <c r="W26" s="31">
        <v>12.307227936554886</v>
      </c>
      <c r="X26" s="31">
        <v>28.414956272900934</v>
      </c>
      <c r="Y26" s="44">
        <v>4.6232048781506565</v>
      </c>
      <c r="Z26" s="31">
        <v>2.5901811693501919E-2</v>
      </c>
      <c r="AA26" s="43">
        <v>5.6341318636325575E-3</v>
      </c>
      <c r="AW26" s="31">
        <v>5.2450473503230963</v>
      </c>
      <c r="AX26" s="31">
        <v>-0.37802056853185206</v>
      </c>
      <c r="AZ26" s="31">
        <v>5.3498140368107006</v>
      </c>
      <c r="BA26" s="31">
        <v>0.69777136450962962</v>
      </c>
      <c r="DC26" s="31">
        <v>0.11814244275089736</v>
      </c>
      <c r="DD26" s="31">
        <v>9.7592707128592596E-2</v>
      </c>
      <c r="DT26" s="33" t="s">
        <v>159</v>
      </c>
      <c r="DU26" s="31">
        <f>_xlfn.LET(_xlpm._a3, BG12, _xlpm._a2, BG13, _xlpm._a1, BG14, _xlpm._a0, BG15,  -2 * _xlpm._a2 ^ 3 + 9 * _xlpm._a1 * _xlpm._a2 * _xlpm._a3 - 27 * _xlpm._a0 * _xlpm._a3 ^ 2)</f>
        <v>1.1819754684368154E-2</v>
      </c>
      <c r="EG26" s="31">
        <v>0.92425387672888892</v>
      </c>
      <c r="FE26" s="31">
        <v>433.33493698166671</v>
      </c>
      <c r="FF26" s="31">
        <v>565.19480525279994</v>
      </c>
      <c r="FH26" s="31">
        <v>44.187866088997438</v>
      </c>
      <c r="FI26" s="31">
        <v>565.19480525279994</v>
      </c>
      <c r="FL26" s="31">
        <v>372.3815483830295</v>
      </c>
      <c r="FM26" s="31">
        <v>1870.1298699999998</v>
      </c>
      <c r="FO26" s="31">
        <v>37.972350230000004</v>
      </c>
      <c r="FP26" s="31">
        <v>1870.1298699999998</v>
      </c>
    </row>
    <row r="27" spans="3:172" ht="20.25" customHeight="1">
      <c r="J27" s="31">
        <v>3.2341556148148149</v>
      </c>
      <c r="K27" s="31">
        <v>4.01706093162068</v>
      </c>
      <c r="P27" s="31">
        <v>4.01706093162068</v>
      </c>
      <c r="Q27" s="31">
        <v>3.2341556148148149</v>
      </c>
      <c r="T27" s="31">
        <v>4.4857180401079759</v>
      </c>
      <c r="U27" s="44">
        <v>2.5470120703703705</v>
      </c>
      <c r="V27" s="31">
        <v>6.4872704866123607</v>
      </c>
      <c r="W27" s="31">
        <v>16.523156233159149</v>
      </c>
      <c r="X27" s="31">
        <v>42.084678366471778</v>
      </c>
      <c r="Y27" s="44">
        <v>4.477771841073559</v>
      </c>
      <c r="Z27" s="31">
        <v>-7.9461990344169564E-3</v>
      </c>
      <c r="AA27" s="43">
        <v>-1.7714441619753887E-3</v>
      </c>
      <c r="AW27" s="31">
        <v>5.2833622922635337</v>
      </c>
      <c r="AX27" s="31">
        <v>-0.29308962644962988</v>
      </c>
      <c r="AZ27" s="31">
        <v>5.3370632221760355</v>
      </c>
      <c r="BA27" s="31">
        <v>0.75439199256444445</v>
      </c>
      <c r="DC27" s="31">
        <v>0.11435154342898378</v>
      </c>
      <c r="DD27" s="31">
        <v>0.10325476993407408</v>
      </c>
      <c r="DR27" s="45"/>
      <c r="EG27" s="31">
        <v>0.98087450478370375</v>
      </c>
      <c r="FE27" s="31">
        <v>432.30212099625891</v>
      </c>
      <c r="FF27" s="31">
        <v>611.05751397719996</v>
      </c>
      <c r="FH27" s="31">
        <v>44.082548168463134</v>
      </c>
      <c r="FI27" s="31">
        <v>611.05751397719996</v>
      </c>
      <c r="FL27" s="31">
        <v>363.34316124874601</v>
      </c>
      <c r="FM27" s="31">
        <v>2063.0797769999999</v>
      </c>
      <c r="FO27" s="31">
        <v>37.050691240000006</v>
      </c>
      <c r="FP27" s="31">
        <v>2063.0797769999999</v>
      </c>
    </row>
    <row r="28" spans="3:172" ht="20.25" customHeight="1">
      <c r="J28" s="31">
        <v>3.4723653765432103</v>
      </c>
      <c r="K28" s="31">
        <v>3.8720003982142344</v>
      </c>
      <c r="P28" s="31">
        <v>3.8720003982142344</v>
      </c>
      <c r="Q28" s="31">
        <v>3.4723653765432103</v>
      </c>
      <c r="T28" s="31">
        <v>4.3518160094575196</v>
      </c>
      <c r="U28" s="44">
        <v>2.7302503493827155</v>
      </c>
      <c r="V28" s="31">
        <v>7.45426697030444</v>
      </c>
      <c r="W28" s="31">
        <v>20.352015000065734</v>
      </c>
      <c r="X28" s="31">
        <v>55.566096064571731</v>
      </c>
      <c r="Y28" s="44">
        <v>4.3623904395209516</v>
      </c>
      <c r="Z28" s="31">
        <v>1.0574430063432061E-2</v>
      </c>
      <c r="AA28" s="43">
        <v>2.4298890487215769E-3</v>
      </c>
      <c r="AW28" s="31">
        <v>5.3155448918334693</v>
      </c>
      <c r="AX28" s="31">
        <v>-0.20815868436740748</v>
      </c>
      <c r="AZ28" s="31">
        <v>5.3229562585088308</v>
      </c>
      <c r="BA28" s="31">
        <v>0.81101262061925927</v>
      </c>
      <c r="BQ28" s="33" t="s">
        <v>158</v>
      </c>
      <c r="BR28" s="31">
        <f>_xlfn.LET(
    _xlpm._A, BR14,
    _xlpm._B, BR15,
    _xlpm._B - _xlpm._A ^ 2 / 3
)</f>
        <v>3.1759239959912335</v>
      </c>
      <c r="DC28" s="31">
        <v>0.11057435268644</v>
      </c>
      <c r="DD28" s="31">
        <v>0.10891683273955556</v>
      </c>
      <c r="EG28" s="31">
        <v>1.0374951328385185</v>
      </c>
      <c r="FE28" s="31">
        <v>431.15945693921526</v>
      </c>
      <c r="FF28" s="31">
        <v>656.92022270159998</v>
      </c>
      <c r="FH28" s="31">
        <v>43.966028861967672</v>
      </c>
      <c r="FI28" s="31">
        <v>656.92022270159998</v>
      </c>
      <c r="FL28" s="31">
        <v>352.49709676605909</v>
      </c>
      <c r="FM28" s="31">
        <v>2211.5027829999995</v>
      </c>
      <c r="FO28" s="31">
        <v>35.944700460000014</v>
      </c>
      <c r="FP28" s="31">
        <v>2211.5027829999995</v>
      </c>
    </row>
    <row r="29" spans="3:172" ht="20.25" customHeight="1">
      <c r="J29" s="31">
        <v>3.6464417419753086</v>
      </c>
      <c r="K29" s="31">
        <v>3.7604153718650557</v>
      </c>
      <c r="P29" s="31">
        <v>3.7604153718650557</v>
      </c>
      <c r="Q29" s="31">
        <v>3.6464417419753086</v>
      </c>
      <c r="T29" s="31">
        <v>4.1844384705390993</v>
      </c>
      <c r="U29" s="44">
        <v>2.9684601111111117</v>
      </c>
      <c r="V29" s="31">
        <v>8.8117554312577937</v>
      </c>
      <c r="W29" s="31">
        <v>26.157344506555454</v>
      </c>
      <c r="X29" s="31">
        <v>77.647033780301228</v>
      </c>
      <c r="Y29" s="44">
        <v>4.2081833426990087</v>
      </c>
      <c r="Z29" s="31">
        <v>2.3744872159909391E-2</v>
      </c>
      <c r="AA29" s="43">
        <v>5.6745659727313992E-3</v>
      </c>
      <c r="AW29" s="31">
        <v>5.34189095338981</v>
      </c>
      <c r="AX29" s="31">
        <v>-0.12322774228518529</v>
      </c>
      <c r="AZ29" s="31">
        <v>5.3075515130022648</v>
      </c>
      <c r="BA29" s="31">
        <v>0.8676332486740741</v>
      </c>
      <c r="BQ29" s="33" t="s">
        <v>157</v>
      </c>
      <c r="BR29" s="31">
        <f>_xlfn.LET(
    _xlpm._A, BR14,
    _xlpm._B, BR15,
    _xlpm._C, BR16,
    2 / 27 * _xlpm._A ^ 3 - _xlpm._A * _xlpm._B / 3 + _xlpm._C
)</f>
        <v>24.861933346236388</v>
      </c>
      <c r="DC29" s="31">
        <v>0.10681084218900451</v>
      </c>
      <c r="DD29" s="31">
        <v>0.11457889554503704</v>
      </c>
      <c r="DR29" s="45"/>
      <c r="EG29" s="31">
        <v>1.0941157608933334</v>
      </c>
      <c r="FE29" s="31">
        <v>429.91167255318345</v>
      </c>
      <c r="FF29" s="31">
        <v>702.782931426</v>
      </c>
      <c r="FH29" s="31">
        <v>43.838790265093941</v>
      </c>
      <c r="FI29" s="31">
        <v>702.782931426</v>
      </c>
      <c r="FL29" s="31">
        <v>338.93951611366703</v>
      </c>
      <c r="FM29" s="31">
        <v>2404.4526900000005</v>
      </c>
      <c r="FO29" s="31">
        <v>34.562211980000008</v>
      </c>
      <c r="FP29" s="31">
        <v>2404.4526900000005</v>
      </c>
    </row>
    <row r="30" spans="3:172" ht="20.25" customHeight="1">
      <c r="J30" s="31">
        <v>3.7930323641975305</v>
      </c>
      <c r="K30" s="31">
        <v>3.6376718439705855</v>
      </c>
      <c r="P30" s="31">
        <v>3.6376718439705855</v>
      </c>
      <c r="Q30" s="31">
        <v>3.7930323641975305</v>
      </c>
      <c r="T30" s="31">
        <v>4.01706093162068</v>
      </c>
      <c r="U30" s="44">
        <v>3.2341556148148149</v>
      </c>
      <c r="V30" s="31">
        <v>10.459762540838193</v>
      </c>
      <c r="W30" s="31">
        <v>33.828499751081516</v>
      </c>
      <c r="X30" s="31">
        <v>109.40663241072185</v>
      </c>
      <c r="Y30" s="44">
        <v>4.0305015328496774</v>
      </c>
      <c r="Z30" s="31">
        <v>1.3440601228997373E-2</v>
      </c>
      <c r="AA30" s="43">
        <v>3.3458793525381688E-3</v>
      </c>
      <c r="AW30" s="31">
        <v>5.3626881595020706</v>
      </c>
      <c r="AX30" s="31">
        <v>-3.829680020296311E-2</v>
      </c>
      <c r="AZ30" s="31">
        <v>5.2909057485458337</v>
      </c>
      <c r="BA30" s="31">
        <v>0.92425387672888892</v>
      </c>
      <c r="CD30" s="31" t="s">
        <v>156</v>
      </c>
      <c r="CO30" s="31" t="s">
        <v>156</v>
      </c>
      <c r="DC30" s="31">
        <v>0.10306098360241581</v>
      </c>
      <c r="DD30" s="31">
        <v>0.12024095835051853</v>
      </c>
      <c r="EG30" s="31">
        <v>1.1507363889481481</v>
      </c>
      <c r="FE30" s="31">
        <v>428.56336563221254</v>
      </c>
      <c r="FF30" s="31">
        <v>748.64564015040003</v>
      </c>
      <c r="FH30" s="31">
        <v>43.701301222355497</v>
      </c>
      <c r="FI30" s="31">
        <v>748.64564015040003</v>
      </c>
      <c r="FL30" s="31">
        <v>325.38193546127508</v>
      </c>
      <c r="FM30" s="31">
        <v>2619.666048</v>
      </c>
      <c r="FO30" s="31">
        <v>33.179723500000009</v>
      </c>
      <c r="FP30" s="31">
        <v>2619.666048</v>
      </c>
    </row>
    <row r="31" spans="3:172" ht="20.25" customHeight="1">
      <c r="J31" s="31">
        <v>3.9396229876543205</v>
      </c>
      <c r="K31" s="31">
        <v>3.5260868176214069</v>
      </c>
      <c r="P31" s="31">
        <v>3.5260868176214069</v>
      </c>
      <c r="Q31" s="31">
        <v>3.9396229876543205</v>
      </c>
      <c r="T31" s="31">
        <v>3.8720003982142344</v>
      </c>
      <c r="U31" s="44">
        <v>3.4723653765432103</v>
      </c>
      <c r="V31" s="31">
        <v>12.057321308216071</v>
      </c>
      <c r="W31" s="31">
        <v>41.86742504450617</v>
      </c>
      <c r="X31" s="31">
        <v>145.3789971295613</v>
      </c>
      <c r="Y31" s="44">
        <v>3.8655073371012008</v>
      </c>
      <c r="Z31" s="31">
        <v>-6.4930611130336047E-3</v>
      </c>
      <c r="AA31" s="43">
        <v>-1.6769267678867499E-3</v>
      </c>
      <c r="AW31" s="31">
        <v>5.3782160709523739</v>
      </c>
      <c r="AX31" s="31">
        <v>4.6634141879259072E-2</v>
      </c>
      <c r="AZ31" s="31">
        <v>5.273074123725352</v>
      </c>
      <c r="BA31" s="31">
        <v>0.98087450478370375</v>
      </c>
      <c r="DC31" s="31">
        <v>9.9324748592412374E-2</v>
      </c>
      <c r="DD31" s="31">
        <v>0.12590302115599999</v>
      </c>
      <c r="EG31" s="31">
        <v>1.2073570170029631</v>
      </c>
      <c r="FE31" s="31">
        <v>427.11900402175348</v>
      </c>
      <c r="FF31" s="31">
        <v>794.50834887480005</v>
      </c>
      <c r="FH31" s="31">
        <v>43.554017327196703</v>
      </c>
      <c r="FI31" s="31">
        <v>794.50834887480005</v>
      </c>
      <c r="FL31" s="31">
        <v>313.63203225535301</v>
      </c>
      <c r="FM31" s="31">
        <v>2812.6159550000007</v>
      </c>
      <c r="FO31" s="31">
        <v>31.981566820000001</v>
      </c>
      <c r="FP31" s="31">
        <v>2812.6159550000007</v>
      </c>
    </row>
    <row r="32" spans="3:172" ht="20.25" customHeight="1">
      <c r="J32" s="31">
        <v>4.150347007407408</v>
      </c>
      <c r="K32" s="31">
        <v>3.4033432897269384</v>
      </c>
      <c r="P32" s="31">
        <v>3.4033432897269384</v>
      </c>
      <c r="Q32" s="31">
        <v>4.150347007407408</v>
      </c>
      <c r="T32" s="31">
        <v>3.7604153718650557</v>
      </c>
      <c r="U32" s="44">
        <v>3.6464417419753086</v>
      </c>
      <c r="V32" s="31">
        <v>13.296537377619924</v>
      </c>
      <c r="W32" s="31">
        <v>48.485048917488193</v>
      </c>
      <c r="X32" s="31">
        <v>176.7979062344437</v>
      </c>
      <c r="Y32" s="44">
        <v>3.7409132676283749</v>
      </c>
      <c r="Z32" s="31">
        <v>-1.9502104236680751E-2</v>
      </c>
      <c r="AA32" s="43">
        <v>-5.1861569289906075E-3</v>
      </c>
      <c r="AW32" s="31">
        <v>5.3887461267354544</v>
      </c>
      <c r="AX32" s="31">
        <v>0.13156508396148126</v>
      </c>
      <c r="AZ32" s="31">
        <v>5.254110192822953</v>
      </c>
      <c r="BA32" s="31">
        <v>1.0374951328385185</v>
      </c>
      <c r="DC32" s="31">
        <v>9.560210882473269E-2</v>
      </c>
      <c r="DD32" s="31">
        <v>0.13156508396148148</v>
      </c>
      <c r="EG32" s="31">
        <v>1.2639776450577778</v>
      </c>
      <c r="FE32" s="31">
        <v>425.58292561865915</v>
      </c>
      <c r="FF32" s="31">
        <v>840.37105759919996</v>
      </c>
      <c r="FH32" s="31">
        <v>43.397380921992649</v>
      </c>
      <c r="FI32" s="31">
        <v>840.37105759919996</v>
      </c>
      <c r="FL32" s="31">
        <v>304.59364512106953</v>
      </c>
      <c r="FM32" s="31">
        <v>2953.6178110000001</v>
      </c>
      <c r="FO32" s="31">
        <v>31.059907830000004</v>
      </c>
      <c r="FP32" s="31">
        <v>2953.6178110000001</v>
      </c>
    </row>
    <row r="33" spans="10:172" ht="20.25" customHeight="1">
      <c r="J33" s="31">
        <v>4.2786138024691365</v>
      </c>
      <c r="K33" s="31">
        <v>3.2694412578657834</v>
      </c>
      <c r="P33" s="31">
        <v>3.2694412578657834</v>
      </c>
      <c r="Q33" s="31">
        <v>4.2786138024691365</v>
      </c>
      <c r="T33" s="31">
        <v>3.6376718439705855</v>
      </c>
      <c r="U33" s="44">
        <v>3.7930323641975305</v>
      </c>
      <c r="V33" s="31">
        <v>14.387094515849908</v>
      </c>
      <c r="W33" s="31">
        <v>54.570715125387501</v>
      </c>
      <c r="X33" s="31">
        <v>206.98848860799851</v>
      </c>
      <c r="Y33" s="44">
        <v>3.6328838403511994</v>
      </c>
      <c r="Z33" s="31">
        <v>-4.7880036193861386E-3</v>
      </c>
      <c r="AA33" s="43">
        <v>-1.3162274731631496E-3</v>
      </c>
      <c r="AW33" s="31">
        <v>5.3945416440586529</v>
      </c>
      <c r="AX33" s="31">
        <v>0.21649602604370366</v>
      </c>
      <c r="AZ33" s="31">
        <v>5.2340659058170864</v>
      </c>
      <c r="BA33" s="31">
        <v>1.0941157608933334</v>
      </c>
      <c r="DC33" s="31">
        <v>9.1893035965115263E-2</v>
      </c>
      <c r="DD33" s="31">
        <v>0.13722714676696296</v>
      </c>
      <c r="EG33" s="31">
        <v>1.3205982731125927</v>
      </c>
      <c r="FE33" s="31">
        <v>423.959338371184</v>
      </c>
      <c r="FF33" s="31">
        <v>886.23376632360009</v>
      </c>
      <c r="FH33" s="31">
        <v>43.231821098049181</v>
      </c>
      <c r="FI33" s="31">
        <v>886.23376632360009</v>
      </c>
      <c r="FL33" s="31">
        <v>294.65141936161746</v>
      </c>
      <c r="FM33" s="31">
        <v>3072.3562149999993</v>
      </c>
      <c r="FO33" s="31">
        <v>30.046082949999999</v>
      </c>
      <c r="FP33" s="31">
        <v>3072.3562149999993</v>
      </c>
    </row>
    <row r="34" spans="10:172" ht="20.25" customHeight="1">
      <c r="J34" s="31">
        <v>4.406880597530864</v>
      </c>
      <c r="K34" s="31">
        <v>3.1355392272153266</v>
      </c>
      <c r="P34" s="31">
        <v>3.1355392272153266</v>
      </c>
      <c r="Q34" s="31">
        <v>4.406880597530864</v>
      </c>
      <c r="T34" s="31">
        <v>3.5260868176214069</v>
      </c>
      <c r="U34" s="44">
        <v>3.9396229876543205</v>
      </c>
      <c r="V34" s="31">
        <v>15.520629284854355</v>
      </c>
      <c r="W34" s="31">
        <v>61.14542791347305</v>
      </c>
      <c r="X34" s="31">
        <v>240.88993339787859</v>
      </c>
      <c r="Y34" s="44">
        <v>3.5215580821692547</v>
      </c>
      <c r="Z34" s="31">
        <v>-4.528735452152155E-3</v>
      </c>
      <c r="AA34" s="43">
        <v>-1.2843516584787624E-3</v>
      </c>
      <c r="AW34" s="31">
        <v>5.395857818341919</v>
      </c>
      <c r="AX34" s="31">
        <v>0.30142696812592584</v>
      </c>
      <c r="AZ34" s="31">
        <v>5.2129916083825192</v>
      </c>
      <c r="BA34" s="31">
        <v>1.1507363889481481</v>
      </c>
      <c r="DC34" s="31">
        <v>8.8197501679298559E-2</v>
      </c>
      <c r="DD34" s="31">
        <v>0.14288920957244444</v>
      </c>
      <c r="EG34" s="31">
        <v>1.3772189011674074</v>
      </c>
      <c r="FE34" s="31">
        <v>422.25232027898403</v>
      </c>
      <c r="FF34" s="31">
        <v>932.09647504799977</v>
      </c>
      <c r="FH34" s="31">
        <v>43.057753695602884</v>
      </c>
      <c r="FI34" s="31">
        <v>932.09647504799977</v>
      </c>
      <c r="FL34" s="31">
        <v>285.61303222733397</v>
      </c>
      <c r="FM34" s="31">
        <v>3191.0946199999998</v>
      </c>
      <c r="FO34" s="31">
        <v>29.124423959999998</v>
      </c>
      <c r="FP34" s="31">
        <v>3191.0946199999998</v>
      </c>
    </row>
    <row r="35" spans="10:172" ht="20.25" customHeight="1">
      <c r="J35" s="31">
        <v>4.5717950481481484</v>
      </c>
      <c r="K35" s="31">
        <v>2.9793201910528953</v>
      </c>
      <c r="P35" s="31">
        <v>2.9793201910528953</v>
      </c>
      <c r="Q35" s="31">
        <v>4.5717950481481484</v>
      </c>
      <c r="T35" s="31">
        <v>3.4033432897269384</v>
      </c>
      <c r="U35" s="44">
        <v>4.150347007407408</v>
      </c>
      <c r="V35" s="31">
        <v>17.225380281895628</v>
      </c>
      <c r="W35" s="31">
        <v>71.491305504420097</v>
      </c>
      <c r="X35" s="31">
        <v>296.71372585591871</v>
      </c>
      <c r="Y35" s="44">
        <v>3.3547260204275409</v>
      </c>
      <c r="Z35" s="31">
        <v>-4.8617269299397581E-2</v>
      </c>
      <c r="AA35" s="43">
        <v>-1.428514997183793E-2</v>
      </c>
      <c r="AW35" s="31">
        <v>5.3929417232178105</v>
      </c>
      <c r="AX35" s="31">
        <v>0.38635791020814803</v>
      </c>
      <c r="AZ35" s="31">
        <v>5.1909360418903372</v>
      </c>
      <c r="BA35" s="31">
        <v>1.2073570170029631</v>
      </c>
      <c r="DC35" s="31">
        <v>8.4515477633021086E-2</v>
      </c>
      <c r="DD35" s="31">
        <v>0.14855127237792592</v>
      </c>
      <c r="EG35" s="31">
        <v>1.4338395292222224</v>
      </c>
      <c r="FE35" s="31">
        <v>420.46581939311739</v>
      </c>
      <c r="FF35" s="31">
        <v>977.95918377239991</v>
      </c>
      <c r="FH35" s="31">
        <v>42.875581303821122</v>
      </c>
      <c r="FI35" s="31">
        <v>977.95918377239991</v>
      </c>
      <c r="FL35" s="31">
        <v>275.67080646788202</v>
      </c>
      <c r="FM35" s="31">
        <v>3361.7810760000011</v>
      </c>
      <c r="FO35" s="31">
        <v>28.110599080000004</v>
      </c>
      <c r="FP35" s="31">
        <v>3361.7810760000016</v>
      </c>
    </row>
    <row r="36" spans="10:172" ht="20.25" customHeight="1">
      <c r="J36" s="31">
        <v>4.7367094987654328</v>
      </c>
      <c r="K36" s="31">
        <v>2.823101154890463</v>
      </c>
      <c r="P36" s="31">
        <v>2.823101154890463</v>
      </c>
      <c r="Q36" s="31">
        <v>4.7367094987654328</v>
      </c>
      <c r="T36" s="31">
        <v>3.2694412578657834</v>
      </c>
      <c r="U36" s="44">
        <v>4.2786138024691365</v>
      </c>
      <c r="V36" s="31">
        <v>18.306536070679403</v>
      </c>
      <c r="W36" s="31">
        <v>78.326597907408001</v>
      </c>
      <c r="X36" s="31">
        <v>335.12926290708606</v>
      </c>
      <c r="Y36" s="44">
        <v>3.2485905486151467</v>
      </c>
      <c r="Z36" s="31">
        <v>-2.0850709250636701E-2</v>
      </c>
      <c r="AA36" s="43">
        <v>-6.3774533952775676E-3</v>
      </c>
      <c r="AW36" s="31">
        <v>5.3860323105314967</v>
      </c>
      <c r="AX36" s="31">
        <v>0.47128885229037021</v>
      </c>
      <c r="AZ36" s="31">
        <v>5.1679463434079445</v>
      </c>
      <c r="BA36" s="31">
        <v>1.2639776450577778</v>
      </c>
      <c r="DC36" s="31">
        <v>8.0846935492021321E-2</v>
      </c>
      <c r="DD36" s="31">
        <v>0.15421333518340741</v>
      </c>
      <c r="EG36" s="31">
        <v>1.4904601572770371</v>
      </c>
      <c r="FE36" s="31">
        <v>418.6036538160435</v>
      </c>
      <c r="FF36" s="31">
        <v>1023.8218924968</v>
      </c>
      <c r="FH36" s="31">
        <v>42.685693260801962</v>
      </c>
      <c r="FI36" s="31">
        <v>1023.8218924968</v>
      </c>
      <c r="FL36" s="31">
        <v>264.82474188712843</v>
      </c>
      <c r="FM36" s="31">
        <v>3465.6771800000001</v>
      </c>
      <c r="FO36" s="31">
        <v>27.004608289999997</v>
      </c>
      <c r="FP36" s="31">
        <v>3465.6771800000001</v>
      </c>
    </row>
    <row r="37" spans="10:172" ht="20.25" customHeight="1">
      <c r="J37" s="31">
        <v>4.8924620358024686</v>
      </c>
      <c r="K37" s="31">
        <v>2.6780406214840182</v>
      </c>
      <c r="P37" s="31">
        <v>2.6780406214840182</v>
      </c>
      <c r="Q37" s="31">
        <v>4.8924620358024686</v>
      </c>
      <c r="T37" s="31">
        <v>3.1355392272153266</v>
      </c>
      <c r="U37" s="31">
        <v>4.406880597530864</v>
      </c>
      <c r="V37" s="31">
        <v>19.420596600893987</v>
      </c>
      <c r="W37" s="31">
        <v>85.584250352953561</v>
      </c>
      <c r="X37" s="31">
        <v>377.15957233465508</v>
      </c>
      <c r="Y37" s="31">
        <v>3.1384444784444883</v>
      </c>
      <c r="Z37" s="31">
        <v>2.9052512291616317E-3</v>
      </c>
      <c r="AA37" s="31">
        <v>9.2655553594900688E-4</v>
      </c>
      <c r="AW37" s="31">
        <v>5.3753604103407531</v>
      </c>
      <c r="AX37" s="31">
        <v>0.55621979437259239</v>
      </c>
      <c r="AZ37" s="31">
        <v>5.1440680456990622</v>
      </c>
      <c r="BA37" s="31">
        <v>1.3205982731125927</v>
      </c>
      <c r="DC37" s="31">
        <v>7.719184692203776E-2</v>
      </c>
      <c r="DD37" s="31">
        <v>0.15987539798888889</v>
      </c>
      <c r="EG37" s="31">
        <v>1.547080785331852</v>
      </c>
      <c r="FE37" s="31">
        <v>416.66951170162406</v>
      </c>
      <c r="FF37" s="31">
        <v>1069.6846012212002</v>
      </c>
      <c r="FH37" s="31">
        <v>42.488465653574266</v>
      </c>
      <c r="FI37" s="31">
        <v>1069.6846012212002</v>
      </c>
      <c r="FL37" s="31">
        <v>253.97867740444144</v>
      </c>
      <c r="FM37" s="31">
        <v>3569.5732840000001</v>
      </c>
      <c r="FO37" s="31">
        <v>25.898617510000001</v>
      </c>
      <c r="FP37" s="31">
        <v>3569.5732840000001</v>
      </c>
    </row>
    <row r="38" spans="10:172" ht="20.25" customHeight="1">
      <c r="J38" s="31">
        <v>5.0665384000000007</v>
      </c>
      <c r="K38" s="31">
        <v>2.4771875742976355</v>
      </c>
      <c r="P38" s="31">
        <v>2.4771875742976355</v>
      </c>
      <c r="Q38" s="31">
        <v>5.0665384000000007</v>
      </c>
      <c r="T38" s="31">
        <v>2.9793201910528953</v>
      </c>
      <c r="U38" s="31">
        <v>4.5717950481481484</v>
      </c>
      <c r="V38" s="31">
        <v>20.901309962271931</v>
      </c>
      <c r="W38" s="31">
        <v>95.556505385324371</v>
      </c>
      <c r="X38" s="31">
        <v>436.86475813896789</v>
      </c>
      <c r="Y38" s="31">
        <v>2.9901348894344792</v>
      </c>
      <c r="Z38" s="31">
        <v>1.0814698381583998E-2</v>
      </c>
      <c r="AA38" s="31">
        <v>3.6299214881506479E-3</v>
      </c>
      <c r="AW38" s="31">
        <v>5.3611487309159633</v>
      </c>
      <c r="AX38" s="31">
        <v>0.6411507364548148</v>
      </c>
      <c r="AZ38" s="31">
        <v>5.1193450772237279</v>
      </c>
      <c r="BA38" s="31">
        <v>1.3772189011674074</v>
      </c>
      <c r="CD38" s="31" t="s">
        <v>155</v>
      </c>
      <c r="CO38" s="31" t="s">
        <v>155</v>
      </c>
      <c r="DC38" s="31">
        <v>7.3550183588808909E-2</v>
      </c>
      <c r="DD38" s="31">
        <v>0.16553746079437037</v>
      </c>
      <c r="EG38" s="31">
        <v>1.6037014133866667</v>
      </c>
      <c r="FE38" s="31">
        <v>414.66695125512194</v>
      </c>
      <c r="FF38" s="31">
        <v>1115.5473099455999</v>
      </c>
      <c r="FH38" s="31">
        <v>42.284261318097613</v>
      </c>
      <c r="FI38" s="31">
        <v>1115.5473099455999</v>
      </c>
      <c r="FL38" s="31">
        <v>241.32493547528452</v>
      </c>
      <c r="FM38" s="31">
        <v>3703.1539889999999</v>
      </c>
      <c r="FO38" s="31">
        <v>24.608294930000003</v>
      </c>
      <c r="FP38" s="31">
        <v>3703.1539889999999</v>
      </c>
    </row>
    <row r="39" spans="10:172" ht="20.25" customHeight="1">
      <c r="J39" s="31">
        <v>5.1948051950617282</v>
      </c>
      <c r="K39" s="31">
        <v>2.3209685381352037</v>
      </c>
      <c r="P39" s="31">
        <v>2.3209685381352037</v>
      </c>
      <c r="Q39" s="31">
        <v>5.1948051950617282</v>
      </c>
      <c r="T39" s="31">
        <v>2.823101154890463</v>
      </c>
      <c r="U39" s="31">
        <v>4.7367094987654328</v>
      </c>
      <c r="V39" s="31">
        <v>22.436416875694679</v>
      </c>
      <c r="W39" s="31">
        <v>106.27478893336404</v>
      </c>
      <c r="X39" s="31">
        <v>503.39280221995699</v>
      </c>
      <c r="Y39" s="31">
        <v>2.8332220388310447</v>
      </c>
      <c r="Z39" s="31">
        <v>1.0120883940581749E-2</v>
      </c>
      <c r="AA39" s="31">
        <v>3.5850234849181101E-3</v>
      </c>
      <c r="AW39" s="31">
        <v>5.3436118587401218</v>
      </c>
      <c r="AX39" s="31">
        <v>0.7260816785370372</v>
      </c>
      <c r="AZ39" s="31">
        <v>5.093819762138299</v>
      </c>
      <c r="BA39" s="31">
        <v>1.4338395292222224</v>
      </c>
      <c r="DC39" s="31">
        <v>6.9921917158073221E-2</v>
      </c>
      <c r="DD39" s="31">
        <v>0.17119952359985185</v>
      </c>
      <c r="EG39" s="31">
        <v>1.6603220414414817</v>
      </c>
      <c r="FE39" s="31">
        <v>412.59940073320217</v>
      </c>
      <c r="FF39" s="31">
        <v>1161.41001867</v>
      </c>
      <c r="FH39" s="31">
        <v>42.07342983926236</v>
      </c>
      <c r="FI39" s="31">
        <v>1161.41001867</v>
      </c>
      <c r="FL39" s="31">
        <v>228.67119354612748</v>
      </c>
      <c r="FM39" s="31">
        <v>3836.7346940000007</v>
      </c>
      <c r="FO39" s="31">
        <v>23.317972350000002</v>
      </c>
      <c r="FP39" s="31">
        <v>3836.7346940000007</v>
      </c>
    </row>
    <row r="40" spans="10:172" ht="20.25" customHeight="1">
      <c r="J40" s="31">
        <v>5.3047481617283943</v>
      </c>
      <c r="K40" s="31">
        <v>2.1870665074847464</v>
      </c>
      <c r="P40" s="31">
        <v>2.1870665074847464</v>
      </c>
      <c r="Q40" s="31">
        <v>5.3047481617283943</v>
      </c>
      <c r="T40" s="31">
        <v>2.6780406214840182</v>
      </c>
      <c r="U40" s="31">
        <v>4.8924620358024686</v>
      </c>
      <c r="V40" s="31">
        <v>23.936184771768435</v>
      </c>
      <c r="W40" s="31">
        <v>117.10687527783024</v>
      </c>
      <c r="X40" s="31">
        <v>572.94094142823917</v>
      </c>
      <c r="Y40" s="31">
        <v>2.6759854036708042</v>
      </c>
      <c r="Z40" s="31">
        <v>-2.0552178132140497E-3</v>
      </c>
      <c r="AA40" s="31">
        <v>-7.6743339765890655E-4</v>
      </c>
      <c r="AW40" s="31">
        <v>5.3229562585088308</v>
      </c>
      <c r="AX40" s="31">
        <v>0.81101262061925916</v>
      </c>
      <c r="AZ40" s="31">
        <v>5.0675328202954502</v>
      </c>
      <c r="BA40" s="31">
        <v>1.4904601572770371</v>
      </c>
      <c r="DC40" s="31">
        <v>6.6307019295569189E-2</v>
      </c>
      <c r="DD40" s="31">
        <v>0.17686158640533334</v>
      </c>
      <c r="EG40" s="31">
        <v>1.7169426694962964</v>
      </c>
      <c r="FE40" s="31">
        <v>410.47015844393144</v>
      </c>
      <c r="FF40" s="31">
        <v>1207.2727273943999</v>
      </c>
      <c r="FH40" s="31">
        <v>41.856307550889596</v>
      </c>
      <c r="FI40" s="31">
        <v>1207.2727273943999</v>
      </c>
      <c r="FL40" s="31">
        <v>216.92129034020545</v>
      </c>
      <c r="FM40" s="31">
        <v>3962.8942489999995</v>
      </c>
      <c r="FO40" s="31">
        <v>22.119815669999994</v>
      </c>
      <c r="FP40" s="31">
        <v>3962.8942489999995</v>
      </c>
    </row>
    <row r="41" spans="10:172" ht="20.25" customHeight="1">
      <c r="J41" s="31">
        <v>5.3963673012345676</v>
      </c>
      <c r="K41" s="31">
        <v>2.0754814811355682</v>
      </c>
      <c r="P41" s="31">
        <v>2.0754814811355682</v>
      </c>
      <c r="Q41" s="31">
        <v>5.3963673012345676</v>
      </c>
      <c r="T41" s="31">
        <v>2.4771875742976355</v>
      </c>
      <c r="U41" s="31">
        <v>5.0665384000000007</v>
      </c>
      <c r="V41" s="31">
        <v>25.669811358674568</v>
      </c>
      <c r="W41" s="31">
        <v>130.05708496948088</v>
      </c>
      <c r="X41" s="31">
        <v>658.93921518993784</v>
      </c>
      <c r="Y41" s="31">
        <v>2.4883978480561453</v>
      </c>
      <c r="Z41" s="31">
        <v>1.1210273758509803E-2</v>
      </c>
      <c r="AA41" s="31">
        <v>4.525403677470119E-3</v>
      </c>
      <c r="AW41" s="31">
        <v>5.2993802731303008</v>
      </c>
      <c r="AX41" s="31">
        <v>0.89594356270148157</v>
      </c>
      <c r="AZ41" s="31">
        <v>5.040523367244174</v>
      </c>
      <c r="BA41" s="31">
        <v>1.547080785331852</v>
      </c>
      <c r="DC41" s="31">
        <v>6.2705461667035348E-2</v>
      </c>
      <c r="DD41" s="31">
        <v>0.18252364921081482</v>
      </c>
      <c r="EG41" s="31">
        <v>1.7735632975511113</v>
      </c>
      <c r="FE41" s="31">
        <v>408.2823927467781</v>
      </c>
      <c r="FF41" s="31">
        <v>1253.1354361188</v>
      </c>
      <c r="FH41" s="31">
        <v>41.633217535731177</v>
      </c>
      <c r="FI41" s="31">
        <v>1253.1354361188</v>
      </c>
      <c r="FL41" s="31">
        <v>200.65219351810845</v>
      </c>
      <c r="FM41" s="31">
        <v>4103.8961040000004</v>
      </c>
      <c r="FO41" s="31">
        <v>20.460829489999995</v>
      </c>
      <c r="FP41" s="31">
        <v>4103.8961040000004</v>
      </c>
    </row>
    <row r="42" spans="10:172" ht="20.25" customHeight="1">
      <c r="J42" s="31">
        <v>5.4788245259259263</v>
      </c>
      <c r="K42" s="31">
        <v>1.9638964559970862</v>
      </c>
      <c r="P42" s="31">
        <v>1.9638964559970862</v>
      </c>
      <c r="Q42" s="31">
        <v>5.4788245259259263</v>
      </c>
      <c r="T42" s="31">
        <v>2.3209685381352037</v>
      </c>
      <c r="U42" s="31">
        <v>5.1948051950617282</v>
      </c>
      <c r="V42" s="31">
        <v>26.986001014640319</v>
      </c>
      <c r="W42" s="31">
        <v>140.1870182647946</v>
      </c>
      <c r="X42" s="31">
        <v>728.24425076216835</v>
      </c>
      <c r="Y42" s="31">
        <v>2.3411853835532193</v>
      </c>
      <c r="Z42" s="31">
        <v>2.0216845418015605E-2</v>
      </c>
      <c r="AA42" s="31">
        <v>8.710521097480689E-3</v>
      </c>
      <c r="AW42" s="31">
        <v>5.273074123725352</v>
      </c>
      <c r="AX42" s="31">
        <v>0.98087450478370397</v>
      </c>
      <c r="AZ42" s="31">
        <v>5.0128289142297788</v>
      </c>
      <c r="BA42" s="31">
        <v>1.6037014133866667</v>
      </c>
      <c r="DC42" s="31">
        <v>5.9117215938210149E-2</v>
      </c>
      <c r="DD42" s="31">
        <v>0.1881857120162963</v>
      </c>
      <c r="EG42" s="31">
        <v>1.830183925605926</v>
      </c>
      <c r="FE42" s="31">
        <v>406.03914205261214</v>
      </c>
      <c r="FF42" s="31">
        <v>1298.9981448432002</v>
      </c>
      <c r="FH42" s="31">
        <v>41.404469625469673</v>
      </c>
      <c r="FI42" s="31">
        <v>1298.9981448432002</v>
      </c>
      <c r="FL42" s="31">
        <v>187.9984515889515</v>
      </c>
      <c r="FM42" s="31">
        <v>4207.7922079999998</v>
      </c>
      <c r="FO42" s="31">
        <v>19.170506910000004</v>
      </c>
      <c r="FP42" s="31">
        <v>4207.7922079999998</v>
      </c>
    </row>
    <row r="43" spans="10:172" ht="20.25" customHeight="1">
      <c r="J43" s="31">
        <v>5.5704436654320979</v>
      </c>
      <c r="K43" s="31">
        <v>1.8746284351598828</v>
      </c>
      <c r="P43" s="31">
        <v>1.8746284351598828</v>
      </c>
      <c r="Q43" s="31">
        <v>5.5704436654320979</v>
      </c>
      <c r="T43" s="31">
        <v>2.1870665074847464</v>
      </c>
      <c r="U43" s="31">
        <v>5.3047481617283943</v>
      </c>
      <c r="V43" s="31">
        <v>28.140353059360777</v>
      </c>
      <c r="W43" s="31">
        <v>149.27748616203209</v>
      </c>
      <c r="X43" s="31">
        <v>791.87947030547548</v>
      </c>
      <c r="Y43" s="31">
        <v>2.2082938498446154</v>
      </c>
      <c r="Z43" s="31">
        <v>2.1227342359869006E-2</v>
      </c>
      <c r="AA43" s="31">
        <v>9.7058513251531992E-3</v>
      </c>
      <c r="AW43" s="31">
        <v>5.2442199096274127</v>
      </c>
      <c r="AX43" s="31">
        <v>1.0658054468659259</v>
      </c>
      <c r="AZ43" s="31">
        <v>4.9844853681938943</v>
      </c>
      <c r="BA43" s="31">
        <v>1.6603220414414817</v>
      </c>
      <c r="DC43" s="31">
        <v>5.5542253774832046E-2</v>
      </c>
      <c r="DD43" s="31">
        <v>0.19384777482177779</v>
      </c>
      <c r="EG43" s="31">
        <v>1.8868045536607407</v>
      </c>
      <c r="FE43" s="31">
        <v>403.74331482370542</v>
      </c>
      <c r="FF43" s="31">
        <v>1344.8608535676001</v>
      </c>
      <c r="FH43" s="31">
        <v>41.170360400718437</v>
      </c>
      <c r="FI43" s="31">
        <v>1344.8608535676001</v>
      </c>
      <c r="FL43" s="31">
        <v>177.15238710626446</v>
      </c>
      <c r="FM43" s="31">
        <v>4296.8460109999987</v>
      </c>
      <c r="FO43" s="31">
        <v>18.064516129999998</v>
      </c>
      <c r="FP43" s="31">
        <v>4296.8460109999987</v>
      </c>
    </row>
    <row r="44" spans="10:172" ht="20.25" customHeight="1">
      <c r="J44" s="31">
        <v>5.6803866333333337</v>
      </c>
      <c r="K44" s="31">
        <v>1.7407264032987282</v>
      </c>
      <c r="P44" s="31">
        <v>1.7407264032987282</v>
      </c>
      <c r="Q44" s="31">
        <v>5.6803866333333337</v>
      </c>
      <c r="T44" s="31">
        <v>2.0754814811355682</v>
      </c>
      <c r="U44" s="31">
        <v>5.3963673012345676</v>
      </c>
      <c r="V44" s="31">
        <v>29.120780049833652</v>
      </c>
      <c r="W44" s="31">
        <v>157.14642524736627</v>
      </c>
      <c r="X44" s="31">
        <v>848.01983071078962</v>
      </c>
      <c r="Y44" s="31">
        <v>2.0924399200805688</v>
      </c>
      <c r="Z44" s="31">
        <v>1.6958438945000598E-2</v>
      </c>
      <c r="AA44" s="31">
        <v>8.1708457045456487E-3</v>
      </c>
      <c r="AW44" s="31">
        <v>5.2129916083825192</v>
      </c>
      <c r="AX44" s="31">
        <v>1.1507363889481483</v>
      </c>
      <c r="AZ44" s="31">
        <v>4.9555270317744649</v>
      </c>
      <c r="BA44" s="31">
        <v>1.7169426694962964</v>
      </c>
      <c r="DC44" s="31">
        <v>5.1980546842639586E-2</v>
      </c>
      <c r="DD44" s="31">
        <v>0.19950983762725927</v>
      </c>
      <c r="EG44" s="31">
        <v>1.9434251817155557</v>
      </c>
      <c r="FE44" s="31">
        <v>401.39768957373167</v>
      </c>
      <c r="FF44" s="31">
        <v>1390.723562292</v>
      </c>
      <c r="FH44" s="31">
        <v>40.931173191021571</v>
      </c>
      <c r="FI44" s="31">
        <v>1390.723562292</v>
      </c>
      <c r="FL44" s="31">
        <v>168.113999971981</v>
      </c>
      <c r="FM44" s="31">
        <v>4371.0575140000001</v>
      </c>
      <c r="FO44" s="31">
        <v>17.142857140000004</v>
      </c>
      <c r="FP44" s="31">
        <v>4371.0575140000001</v>
      </c>
    </row>
    <row r="45" spans="10:172" ht="20.25" customHeight="1">
      <c r="T45" s="31">
        <v>1.9638964559970862</v>
      </c>
      <c r="U45" s="31">
        <v>5.4788245259259263</v>
      </c>
      <c r="V45" s="31">
        <v>30.01751818588745</v>
      </c>
      <c r="W45" s="31">
        <v>164.46071484426767</v>
      </c>
      <c r="X45" s="31">
        <v>901.05139804008377</v>
      </c>
      <c r="Y45" s="31">
        <v>1.9839334953548642</v>
      </c>
      <c r="Z45" s="31">
        <v>2.0037039357778008E-2</v>
      </c>
      <c r="AA45" s="31">
        <v>1.0202696428618504E-2</v>
      </c>
      <c r="AW45" s="31">
        <v>5.1795550757493176</v>
      </c>
      <c r="AX45" s="31">
        <v>1.2356673310303703</v>
      </c>
      <c r="AZ45" s="31">
        <v>4.9259866033057538</v>
      </c>
      <c r="BA45" s="31">
        <v>1.7735632975511113</v>
      </c>
      <c r="DC45" s="31">
        <v>4.8432066807371277E-2</v>
      </c>
      <c r="DD45" s="31">
        <v>0.20517190043274075</v>
      </c>
      <c r="EG45" s="31">
        <v>2.0000458097703704</v>
      </c>
      <c r="FE45" s="31">
        <v>399.00491486776605</v>
      </c>
      <c r="FF45" s="31">
        <v>1436.5862710164004</v>
      </c>
      <c r="FH45" s="31">
        <v>40.687178074853911</v>
      </c>
      <c r="FI45" s="31">
        <v>1436.5862710164004</v>
      </c>
      <c r="FL45" s="31">
        <v>159.07561293576398</v>
      </c>
      <c r="FM45" s="31">
        <v>4437.8478660000001</v>
      </c>
      <c r="FO45" s="31">
        <v>16.221198160000004</v>
      </c>
      <c r="FP45" s="31">
        <v>4437.8478660000001</v>
      </c>
    </row>
    <row r="46" spans="10:172" ht="20.25" customHeight="1">
      <c r="T46" s="31">
        <v>1.8746284351598828</v>
      </c>
      <c r="U46" s="31">
        <v>5.5704436654320979</v>
      </c>
      <c r="V46" s="31">
        <v>31.029842629752586</v>
      </c>
      <c r="W46" s="31">
        <v>172.84999031626018</v>
      </c>
      <c r="X46" s="31">
        <v>962.85113362721086</v>
      </c>
      <c r="Y46" s="31">
        <v>1.8583759628334358</v>
      </c>
      <c r="Z46" s="31">
        <v>-1.6252472326446998E-2</v>
      </c>
      <c r="AA46" s="31">
        <v>-8.6697032977955772E-3</v>
      </c>
      <c r="AW46" s="31">
        <v>5.1440680456990622</v>
      </c>
      <c r="AX46" s="31">
        <v>1.3205982731125927</v>
      </c>
      <c r="AZ46" s="31">
        <v>4.8958951768183416</v>
      </c>
      <c r="BA46" s="31">
        <v>1.830183925605926</v>
      </c>
      <c r="CD46" s="31" t="s">
        <v>154</v>
      </c>
      <c r="CO46" s="31" t="s">
        <v>154</v>
      </c>
      <c r="DC46" s="31">
        <v>4.4896785334765515E-2</v>
      </c>
      <c r="DD46" s="31">
        <v>0.21083396323822223</v>
      </c>
      <c r="EG46" s="31">
        <v>2.0566664378251853</v>
      </c>
      <c r="FE46" s="31">
        <v>396.56750932228567</v>
      </c>
      <c r="FF46" s="31">
        <v>1482.4489797408003</v>
      </c>
      <c r="FH46" s="31">
        <v>40.438631879621042</v>
      </c>
      <c r="FI46" s="31">
        <v>1482.4489797408003</v>
      </c>
      <c r="FL46" s="31">
        <v>151.84490324795053</v>
      </c>
      <c r="FM46" s="31">
        <v>4512.0593689999987</v>
      </c>
      <c r="FO46" s="31">
        <v>15.483870970000003</v>
      </c>
      <c r="FP46" s="31">
        <v>4512.0593689999987</v>
      </c>
    </row>
    <row r="47" spans="10:172" ht="20.25" customHeight="1">
      <c r="T47" s="31">
        <v>1.7407264032987282</v>
      </c>
      <c r="U47" s="31">
        <v>5.6803866333333337</v>
      </c>
      <c r="V47" s="31">
        <v>32.266792304152005</v>
      </c>
      <c r="W47" s="31">
        <v>183.28785570504795</v>
      </c>
      <c r="X47" s="31">
        <v>1041.145885599283</v>
      </c>
      <c r="Y47" s="31">
        <v>1.7003264495222723</v>
      </c>
      <c r="Z47" s="31">
        <v>-4.0399953776455888E-2</v>
      </c>
      <c r="AA47" s="31">
        <v>-2.3208675240346085E-2</v>
      </c>
      <c r="AW47" s="31">
        <v>5.1066801304156151</v>
      </c>
      <c r="AX47" s="31">
        <v>1.4055292151948151</v>
      </c>
      <c r="AZ47" s="31">
        <v>4.865282242039128</v>
      </c>
      <c r="BA47" s="31">
        <v>1.8868045536607407</v>
      </c>
      <c r="DC47" s="31">
        <v>4.1374674090560865E-2</v>
      </c>
      <c r="DD47" s="31">
        <v>0.21649602604370372</v>
      </c>
      <c r="EG47" s="31">
        <v>2.1132870658800003</v>
      </c>
      <c r="FE47" s="31">
        <v>394.08786160516939</v>
      </c>
      <c r="FF47" s="31">
        <v>1528.3116884651999</v>
      </c>
      <c r="FH47" s="31">
        <v>40.185778181659323</v>
      </c>
      <c r="FI47" s="31">
        <v>1528.3116884651999</v>
      </c>
      <c r="FL47" s="31">
        <v>140.99883866719696</v>
      </c>
      <c r="FM47" s="31">
        <v>4601.1131730000006</v>
      </c>
      <c r="FO47" s="31">
        <v>14.377880179999998</v>
      </c>
      <c r="FP47" s="31">
        <v>4601.1131730000006</v>
      </c>
    </row>
    <row r="48" spans="10:172" ht="20.25" customHeight="1">
      <c r="AW48" s="31">
        <v>5.0675328202954502</v>
      </c>
      <c r="AX48" s="31">
        <v>1.4904601572770371</v>
      </c>
      <c r="AZ48" s="31">
        <v>4.8341756843913295</v>
      </c>
      <c r="BA48" s="31">
        <v>1.9434251817155557</v>
      </c>
      <c r="DC48" s="31">
        <v>3.7865704740495804E-2</v>
      </c>
      <c r="DD48" s="31">
        <v>0.2221580888491852</v>
      </c>
      <c r="EG48" s="31">
        <v>2.1699076939348152</v>
      </c>
      <c r="FE48" s="31">
        <v>391.56823043569773</v>
      </c>
      <c r="FF48" s="31">
        <v>1574.1743971896001</v>
      </c>
      <c r="FH48" s="31">
        <v>39.928847306235845</v>
      </c>
      <c r="FI48" s="31">
        <v>1574.1743971896001</v>
      </c>
      <c r="FM48" s="31">
        <v>0</v>
      </c>
      <c r="FP48" s="31">
        <v>0</v>
      </c>
    </row>
    <row r="49" spans="49:172" ht="20.25" customHeight="1">
      <c r="AW49" s="31">
        <v>5.0267594839476466</v>
      </c>
      <c r="AX49" s="31">
        <v>1.5753910993592595</v>
      </c>
      <c r="AZ49" s="31">
        <v>4.8026017849944802</v>
      </c>
      <c r="BA49" s="31">
        <v>2.0000458097703704</v>
      </c>
      <c r="DC49" s="31">
        <v>3.4369848950308812E-2</v>
      </c>
      <c r="DD49" s="31">
        <v>0.22782015165466668</v>
      </c>
      <c r="EG49" s="31">
        <v>2.2265283219896301</v>
      </c>
      <c r="FE49" s="31">
        <v>389.01074458455292</v>
      </c>
      <c r="FF49" s="31">
        <v>1620.037105914</v>
      </c>
      <c r="FH49" s="31">
        <v>39.668056327548449</v>
      </c>
      <c r="FI49" s="31">
        <v>1620.037105914</v>
      </c>
      <c r="FM49" s="31">
        <v>0</v>
      </c>
      <c r="FP49" s="31">
        <v>0</v>
      </c>
    </row>
    <row r="50" spans="49:172" ht="20.25" customHeight="1">
      <c r="AW50" s="31">
        <v>4.9844853681938943</v>
      </c>
      <c r="AX50" s="31">
        <v>1.6603220414414814</v>
      </c>
      <c r="AZ50" s="31">
        <v>4.7705852206644312</v>
      </c>
      <c r="BA50" s="31">
        <v>2.0566664378251853</v>
      </c>
      <c r="DC50" s="31">
        <v>3.0887078385738342E-2</v>
      </c>
      <c r="DD50" s="31">
        <v>0.23348221446014816</v>
      </c>
      <c r="EG50" s="31">
        <v>2.2831489500444446</v>
      </c>
      <c r="FE50" s="31">
        <v>386.4174028738189</v>
      </c>
      <c r="FF50" s="31">
        <v>1665.8998146384001</v>
      </c>
      <c r="FH50" s="31">
        <v>39.403609068725707</v>
      </c>
      <c r="FI50" s="31">
        <v>1665.8998146384004</v>
      </c>
      <c r="FM50" s="31">
        <v>0</v>
      </c>
      <c r="FP50" s="31">
        <v>0</v>
      </c>
    </row>
    <row r="51" spans="49:172" ht="20.25" customHeight="1">
      <c r="AW51" s="31">
        <v>4.9408275980684904</v>
      </c>
      <c r="AX51" s="31">
        <v>1.7452529835237038</v>
      </c>
      <c r="AZ51" s="31">
        <v>4.7381490639133546</v>
      </c>
      <c r="BA51" s="31">
        <v>2.1132870658800003</v>
      </c>
      <c r="BO51" s="31" t="s">
        <v>153</v>
      </c>
      <c r="DC51" s="31">
        <v>2.7417364712522957E-2</v>
      </c>
      <c r="DD51" s="31">
        <v>0.23914427726562965</v>
      </c>
      <c r="EG51" s="31">
        <v>2.3397695780992596</v>
      </c>
      <c r="FE51" s="31">
        <v>383.7900741769817</v>
      </c>
      <c r="FF51" s="31">
        <v>1711.7625233628</v>
      </c>
      <c r="FH51" s="31">
        <v>39.135696101826994</v>
      </c>
      <c r="FI51" s="31">
        <v>1711.7625233628</v>
      </c>
      <c r="FM51" s="31">
        <v>0</v>
      </c>
      <c r="FP51" s="31">
        <v>0</v>
      </c>
    </row>
    <row r="52" spans="49:172" ht="20.25" customHeight="1">
      <c r="AW52" s="31">
        <v>4.8958951768183416</v>
      </c>
      <c r="AX52" s="31">
        <v>1.8301839256059262</v>
      </c>
      <c r="AZ52" s="31">
        <v>4.7053147829497357</v>
      </c>
      <c r="BA52" s="31">
        <v>2.1699076939348152</v>
      </c>
      <c r="DC52" s="31">
        <v>2.3960679596401108E-2</v>
      </c>
      <c r="DD52" s="31">
        <v>0.24480634007111113</v>
      </c>
      <c r="EG52" s="31">
        <v>2.3963902061540745</v>
      </c>
      <c r="FE52" s="31">
        <v>381.1304974189286</v>
      </c>
      <c r="FF52" s="31">
        <v>1757.6252320872002</v>
      </c>
      <c r="FH52" s="31">
        <v>38.8644947478424</v>
      </c>
      <c r="FI52" s="31">
        <v>1757.6252320872004</v>
      </c>
      <c r="FM52" s="31">
        <v>0</v>
      </c>
      <c r="FP52" s="31">
        <v>0</v>
      </c>
    </row>
    <row r="53" spans="49:172" ht="20.25" customHeight="1">
      <c r="AW53" s="31">
        <v>4.8497889859029639</v>
      </c>
      <c r="AX53" s="31">
        <v>1.9151148676881482</v>
      </c>
      <c r="AZ53" s="31">
        <v>4.6721022416783811</v>
      </c>
      <c r="BA53" s="31">
        <v>2.2265283219896301</v>
      </c>
      <c r="DC53" s="31">
        <v>2.0516994703111247E-2</v>
      </c>
      <c r="DD53" s="31">
        <v>0.25046840287659261</v>
      </c>
      <c r="EG53" s="31">
        <v>2.4530108342088894</v>
      </c>
      <c r="FE53" s="31">
        <v>378.44028157594886</v>
      </c>
      <c r="FF53" s="31">
        <v>1803.4879408116003</v>
      </c>
      <c r="FH53" s="31">
        <v>38.590169076692746</v>
      </c>
      <c r="FI53" s="31">
        <v>1803.4879408116003</v>
      </c>
      <c r="FM53" s="31">
        <v>0</v>
      </c>
      <c r="FP53" s="31">
        <v>0</v>
      </c>
    </row>
    <row r="54" spans="49:172" ht="20.25" customHeight="1">
      <c r="AW54" s="31">
        <v>4.8026017849944802</v>
      </c>
      <c r="AX54" s="31">
        <v>2.0000458097703708</v>
      </c>
      <c r="AZ54" s="31">
        <v>4.6385296997004142</v>
      </c>
      <c r="BA54" s="31">
        <v>2.2831489500444446</v>
      </c>
      <c r="DC54" s="31">
        <v>1.7086281698391936E-2</v>
      </c>
      <c r="DD54" s="31">
        <v>0.25613046568207409</v>
      </c>
      <c r="EG54" s="31">
        <v>2.5096314622637039</v>
      </c>
      <c r="FE54" s="31">
        <v>375.72090567573355</v>
      </c>
      <c r="FF54" s="31">
        <v>1849.350649536</v>
      </c>
      <c r="FH54" s="31">
        <v>38.312869907229647</v>
      </c>
      <c r="FI54" s="31">
        <v>1849.3506495360002</v>
      </c>
      <c r="FM54" s="31">
        <v>0</v>
      </c>
      <c r="FP54" s="31">
        <v>0</v>
      </c>
    </row>
    <row r="55" spans="49:172" ht="20.25" customHeight="1">
      <c r="AW55" s="31">
        <v>4.7544182119776233</v>
      </c>
      <c r="AX55" s="31">
        <v>2.0849767518525928</v>
      </c>
      <c r="AZ55" s="31">
        <v>4.6046138123132749</v>
      </c>
      <c r="BA55" s="31">
        <v>2.3397695780992596</v>
      </c>
      <c r="DC55" s="31">
        <v>1.3668512247981629E-2</v>
      </c>
      <c r="DD55" s="31">
        <v>0.26179252848755558</v>
      </c>
      <c r="EG55" s="31">
        <v>2.5662520903185189</v>
      </c>
      <c r="FE55" s="31">
        <v>372.97371879737528</v>
      </c>
      <c r="FF55" s="31">
        <v>1895.2133582604001</v>
      </c>
      <c r="FH55" s="31">
        <v>38.032734807235428</v>
      </c>
      <c r="FI55" s="31">
        <v>1895.2133582604001</v>
      </c>
      <c r="FM55" s="31">
        <v>0</v>
      </c>
      <c r="FP55" s="31">
        <v>0</v>
      </c>
    </row>
    <row r="56" spans="49:172" ht="20.25" customHeight="1">
      <c r="AW56" s="31">
        <v>4.7053147829497357</v>
      </c>
      <c r="AX56" s="31">
        <v>2.1699076939348148</v>
      </c>
      <c r="AZ56" s="31">
        <v>4.5703696305107231</v>
      </c>
      <c r="BA56" s="31">
        <v>2.3963902061540745</v>
      </c>
      <c r="DC56" s="31">
        <v>1.0263658017618776E-2</v>
      </c>
      <c r="DD56" s="31">
        <v>0.26745459129303706</v>
      </c>
      <c r="EG56" s="31">
        <v>2.6228727183733338</v>
      </c>
      <c r="FE56" s="31">
        <v>370.19994007136859</v>
      </c>
      <c r="FF56" s="31">
        <v>1941.0760669848003</v>
      </c>
      <c r="FH56" s="31">
        <v>37.749888093423195</v>
      </c>
      <c r="FI56" s="31">
        <v>1941.0760669848003</v>
      </c>
      <c r="FM56" s="31">
        <v>0</v>
      </c>
      <c r="FP56" s="31">
        <v>0</v>
      </c>
    </row>
    <row r="57" spans="49:172" ht="20.25" customHeight="1">
      <c r="AW57" s="31">
        <v>4.6553598922207664</v>
      </c>
      <c r="AX57" s="31">
        <v>2.2548386360170376</v>
      </c>
      <c r="AZ57" s="31">
        <v>4.5358106009828347</v>
      </c>
      <c r="BA57" s="31">
        <v>2.4530108342088894</v>
      </c>
      <c r="DC57" s="31">
        <v>6.8716906730419691E-3</v>
      </c>
      <c r="DD57" s="31">
        <v>0.27311665409851849</v>
      </c>
      <c r="EG57" s="31">
        <v>2.6794933464281487</v>
      </c>
      <c r="FE57" s="31">
        <v>367.40065867960959</v>
      </c>
      <c r="FF57" s="31">
        <v>1986.9387757092004</v>
      </c>
      <c r="FH57" s="31">
        <v>37.464440831436789</v>
      </c>
      <c r="FI57" s="31">
        <v>1986.9387757092004</v>
      </c>
      <c r="FM57" s="31">
        <v>0</v>
      </c>
      <c r="FP57" s="31">
        <v>0</v>
      </c>
    </row>
    <row r="58" spans="49:172" ht="20.25" customHeight="1">
      <c r="AW58" s="31">
        <v>4.6046138123132749</v>
      </c>
      <c r="AX58" s="31">
        <v>2.3397695780992596</v>
      </c>
      <c r="AZ58" s="31">
        <v>4.500948566116004</v>
      </c>
      <c r="BA58" s="31">
        <v>2.5096314622637039</v>
      </c>
      <c r="DC58" s="31">
        <v>3.4925818799895758E-3</v>
      </c>
      <c r="DD58" s="31">
        <v>0.27877871690399997</v>
      </c>
      <c r="EG58" s="31">
        <v>2.7361139744829632</v>
      </c>
      <c r="FE58" s="31">
        <v>364.57683385539627</v>
      </c>
      <c r="FF58" s="31">
        <v>2032.8014844336001</v>
      </c>
      <c r="FH58" s="31">
        <v>37.176490835850807</v>
      </c>
      <c r="FI58" s="31">
        <v>2032.8014844336001</v>
      </c>
      <c r="FM58" s="31">
        <v>0</v>
      </c>
      <c r="FP58" s="31">
        <v>0</v>
      </c>
    </row>
    <row r="59" spans="49:172" ht="20.25" customHeight="1">
      <c r="AW59" s="31">
        <v>4.5531286939624289</v>
      </c>
      <c r="AX59" s="31">
        <v>2.4247005201814815</v>
      </c>
      <c r="AZ59" s="31">
        <v>4.4657937639929424</v>
      </c>
      <c r="BA59" s="31">
        <v>2.5662520903185189</v>
      </c>
      <c r="DC59" s="31">
        <v>1.2630330420013158E-4</v>
      </c>
      <c r="DD59" s="31">
        <v>0.28444077970948145</v>
      </c>
      <c r="EG59" s="31">
        <v>2.7927346025377782</v>
      </c>
      <c r="FE59" s="31">
        <v>361.72929488342834</v>
      </c>
      <c r="FF59" s="31">
        <v>2078.6641931579998</v>
      </c>
      <c r="FH59" s="31">
        <v>36.886122670170586</v>
      </c>
      <c r="FI59" s="31">
        <v>2078.6641931579998</v>
      </c>
      <c r="FM59" s="31">
        <v>0</v>
      </c>
      <c r="FP59" s="31">
        <v>0</v>
      </c>
    </row>
    <row r="60" spans="49:172" ht="20.25" customHeight="1">
      <c r="AW60" s="31">
        <v>4.500948566116004</v>
      </c>
      <c r="AX60" s="31">
        <v>2.5096314622637035</v>
      </c>
      <c r="AZ60" s="31">
        <v>4.4303548283926801</v>
      </c>
      <c r="BA60" s="31">
        <v>2.6228727183733338</v>
      </c>
      <c r="DC60" s="31">
        <v>-3.2271733885878284E-3</v>
      </c>
      <c r="DD60" s="31">
        <v>0.29010284251496293</v>
      </c>
      <c r="EG60" s="31">
        <v>2.8493552305925931</v>
      </c>
      <c r="FE60" s="31">
        <v>358.85874109980705</v>
      </c>
      <c r="FF60" s="31">
        <v>2124.5269018824006</v>
      </c>
      <c r="FH60" s="31">
        <v>36.593407646832205</v>
      </c>
      <c r="FI60" s="31">
        <v>2124.5269018824006</v>
      </c>
      <c r="FM60" s="31">
        <v>0</v>
      </c>
      <c r="FP60" s="31">
        <v>0</v>
      </c>
    </row>
    <row r="61" spans="49:172" ht="20.25" customHeight="1">
      <c r="AW61" s="31">
        <v>4.4481093359343848</v>
      </c>
      <c r="AX61" s="31">
        <v>2.5945624043459254</v>
      </c>
      <c r="AZ61" s="31">
        <v>4.3946387887905649</v>
      </c>
      <c r="BA61" s="31">
        <v>2.6794933464281487</v>
      </c>
      <c r="DC61" s="31">
        <v>-6.5678765326359079E-3</v>
      </c>
      <c r="DD61" s="31">
        <v>0.29576490532044442</v>
      </c>
      <c r="EG61" s="31">
        <v>2.9059758586474076</v>
      </c>
      <c r="FE61" s="31">
        <v>355.96574189203574</v>
      </c>
      <c r="FF61" s="31">
        <v>2170.3896106068005</v>
      </c>
      <c r="FH61" s="31">
        <v>36.298403827202534</v>
      </c>
      <c r="FI61" s="31">
        <v>2170.3896106068005</v>
      </c>
      <c r="FM61" s="31">
        <v>0</v>
      </c>
      <c r="FP61" s="31">
        <v>0</v>
      </c>
    </row>
    <row r="62" spans="49:172" ht="20.25" customHeight="1">
      <c r="AW62" s="31">
        <v>4.3946387887905658</v>
      </c>
      <c r="AX62" s="31">
        <v>2.6794933464281474</v>
      </c>
      <c r="AZ62" s="31">
        <v>4.3586510703582615</v>
      </c>
      <c r="BA62" s="31">
        <v>2.7361139744829632</v>
      </c>
      <c r="BQ62" s="31" t="s">
        <v>152</v>
      </c>
      <c r="BR62" s="42">
        <f>_xlfn.LET(
    _xlpm._p, BR28,
    _xlpm._q, BR29,
    -1 * _xlpm._q / 2
)</f>
        <v>-12.430966673118194</v>
      </c>
      <c r="DC62" s="31">
        <v>-9.8958344622055161E-3</v>
      </c>
      <c r="DD62" s="31">
        <v>0.3014269681259259</v>
      </c>
      <c r="EG62" s="31">
        <v>2.9625964867022225</v>
      </c>
      <c r="FE62" s="31">
        <v>353.05073669901918</v>
      </c>
      <c r="FF62" s="31">
        <v>2216.2523193312004</v>
      </c>
      <c r="FH62" s="31">
        <v>36.001156021579156</v>
      </c>
      <c r="FI62" s="31">
        <v>2216.2523193312004</v>
      </c>
      <c r="FM62" s="31">
        <v>0</v>
      </c>
      <c r="FP62" s="31">
        <v>0</v>
      </c>
    </row>
    <row r="63" spans="49:172" ht="20.25" customHeight="1">
      <c r="AW63" s="31">
        <v>4.3405565882701476</v>
      </c>
      <c r="AX63" s="31">
        <v>2.7644242885103703</v>
      </c>
      <c r="AZ63" s="31">
        <v>4.3223954939637537</v>
      </c>
      <c r="BA63" s="31">
        <v>2.7927346025377782</v>
      </c>
      <c r="BQ63" s="31" t="s">
        <v>151</v>
      </c>
      <c r="BR63" s="31">
        <f>_xlfn.LET(
    _xlpm._p, BR28,
    _xlpm._q, BR29,
    _xlpm._q ^ 2 / 4 + _xlpm._p ^ 3 / 27
)</f>
        <v>155.71537449777529</v>
      </c>
      <c r="DC63" s="31">
        <v>-1.3211075511558229E-2</v>
      </c>
      <c r="DD63" s="31">
        <v>0.30708903093140738</v>
      </c>
      <c r="EG63" s="31">
        <v>3.0192171147570375</v>
      </c>
      <c r="FE63" s="31">
        <v>350.11403501106412</v>
      </c>
      <c r="FF63" s="31">
        <v>2262.1150280556003</v>
      </c>
      <c r="FH63" s="31">
        <v>35.70169578919041</v>
      </c>
      <c r="FI63" s="31">
        <v>2262.1150280556003</v>
      </c>
      <c r="FM63" s="31">
        <v>0</v>
      </c>
      <c r="FP63" s="31">
        <v>0</v>
      </c>
    </row>
    <row r="64" spans="49:172" ht="20.25" customHeight="1">
      <c r="AW64" s="31">
        <v>4.2858742761713433</v>
      </c>
      <c r="AX64" s="31">
        <v>2.8493552305925922</v>
      </c>
      <c r="AZ64" s="31">
        <v>4.2858742761713424</v>
      </c>
      <c r="BA64" s="31">
        <v>2.8493552305925931</v>
      </c>
      <c r="DC64" s="31">
        <v>-1.6513628014955567E-2</v>
      </c>
      <c r="DD64" s="31">
        <v>0.31275109373688886</v>
      </c>
      <c r="EG64" s="31">
        <v>3.0758377428118524</v>
      </c>
      <c r="FE64" s="31">
        <v>347.15581636987872</v>
      </c>
      <c r="FF64" s="31">
        <v>2307.9777367800007</v>
      </c>
      <c r="FH64" s="31">
        <v>35.40004143819538</v>
      </c>
      <c r="FI64" s="31">
        <v>2307.9777367800011</v>
      </c>
      <c r="FM64" s="31">
        <v>0</v>
      </c>
      <c r="FP64" s="31">
        <v>0</v>
      </c>
    </row>
    <row r="65" spans="49:172" ht="20.25" customHeight="1">
      <c r="AW65" s="31">
        <v>4.2305952725049716</v>
      </c>
      <c r="AX65" s="31">
        <v>2.9342861726748142</v>
      </c>
      <c r="AZ65" s="31">
        <v>4.249088029241646</v>
      </c>
      <c r="BA65" s="31">
        <v>2.9059758586474076</v>
      </c>
      <c r="DC65" s="31">
        <v>-1.9803520306658995E-2</v>
      </c>
      <c r="DD65" s="31">
        <v>0.31841315654237035</v>
      </c>
      <c r="EG65" s="31">
        <v>3.1324583708666669</v>
      </c>
      <c r="FE65" s="31">
        <v>344.1761303685733</v>
      </c>
      <c r="FF65" s="31">
        <v>2353.8404455044001</v>
      </c>
      <c r="FH65" s="31">
        <v>35.096198025683933</v>
      </c>
      <c r="FI65" s="31">
        <v>2353.8404455044001</v>
      </c>
      <c r="FM65" s="31">
        <v>0</v>
      </c>
      <c r="FP65" s="31">
        <v>0</v>
      </c>
    </row>
    <row r="66" spans="49:172" ht="20.25" customHeight="1">
      <c r="AW66" s="31">
        <v>4.1747148754944607</v>
      </c>
      <c r="AX66" s="31">
        <v>3.0192171147570361</v>
      </c>
      <c r="AZ66" s="31">
        <v>4.2120357611316006</v>
      </c>
      <c r="BA66" s="31">
        <v>2.9625964867022225</v>
      </c>
      <c r="DC66" s="31">
        <v>-2.3080780720930033E-2</v>
      </c>
      <c r="DD66" s="31">
        <v>0.32407521934785183</v>
      </c>
      <c r="EG66" s="31">
        <v>3.1890789989214818</v>
      </c>
      <c r="FE66" s="31">
        <v>341.17489665165965</v>
      </c>
      <c r="FF66" s="31">
        <v>2399.7031542288005</v>
      </c>
      <c r="FH66" s="31">
        <v>34.790157357676648</v>
      </c>
      <c r="FI66" s="31">
        <v>2399.7031542288005</v>
      </c>
      <c r="FM66" s="31">
        <v>0</v>
      </c>
      <c r="FP66" s="31">
        <v>0</v>
      </c>
    </row>
    <row r="67" spans="49:172" ht="20.25" customHeight="1">
      <c r="AW67" s="31">
        <v>4.1182202615758481</v>
      </c>
      <c r="AX67" s="31">
        <v>3.104148056839259</v>
      </c>
      <c r="AZ67" s="31">
        <v>4.174714875494459</v>
      </c>
      <c r="BA67" s="31">
        <v>3.0192171147570375</v>
      </c>
      <c r="DC67" s="31">
        <v>-2.634543759203023E-2</v>
      </c>
      <c r="DD67" s="31">
        <v>0.32973728215333331</v>
      </c>
      <c r="EG67" s="31">
        <v>3.2456996269762968</v>
      </c>
      <c r="FE67" s="31">
        <v>338.15190491505126</v>
      </c>
      <c r="FF67" s="31">
        <v>2445.5658629532004</v>
      </c>
      <c r="FH67" s="31">
        <v>34.481897989124853</v>
      </c>
      <c r="FI67" s="31">
        <v>2445.5658629532004</v>
      </c>
      <c r="FM67" s="31">
        <v>0</v>
      </c>
      <c r="FP67" s="31">
        <v>0</v>
      </c>
    </row>
    <row r="68" spans="49:172" ht="20.25" customHeight="1">
      <c r="AW68" s="31">
        <v>4.0610904853977789</v>
      </c>
      <c r="AX68" s="31">
        <v>3.1890789989214809</v>
      </c>
      <c r="AZ68" s="31">
        <v>4.1371211716797962</v>
      </c>
      <c r="BA68" s="31">
        <v>3.0758377428118524</v>
      </c>
      <c r="BP68" s="31" t="s">
        <v>150</v>
      </c>
      <c r="DC68" s="31">
        <v>-2.959751925422105E-2</v>
      </c>
      <c r="DD68" s="31">
        <v>0.33539934495881479</v>
      </c>
      <c r="EG68" s="31">
        <v>3.3023202550311117</v>
      </c>
      <c r="FE68" s="31">
        <v>335.10681490606345</v>
      </c>
      <c r="FF68" s="31">
        <v>2491.4285716776003</v>
      </c>
      <c r="FH68" s="31">
        <v>34.171385223910661</v>
      </c>
      <c r="FI68" s="31">
        <v>2491.4285716776008</v>
      </c>
      <c r="FM68" s="31">
        <v>0</v>
      </c>
      <c r="FP68" s="31">
        <v>0</v>
      </c>
    </row>
    <row r="69" spans="49:172" ht="20.25" customHeight="1">
      <c r="AW69" s="31">
        <v>4.0032964798215076</v>
      </c>
      <c r="AX69" s="31">
        <v>3.2740099410037029</v>
      </c>
      <c r="AZ69" s="31">
        <v>4.0992488447335003</v>
      </c>
      <c r="BA69" s="31">
        <v>3.1324583708666669</v>
      </c>
      <c r="BQ69" s="31" t="s">
        <v>149</v>
      </c>
      <c r="BR69" s="31">
        <f>_xlfn.LET(
    _xlpm._K0, BR62,
    _xlpm._K1, BR63,
    _xlpm._u3, _xlpm._K0 + SQRT(_xlpm._K1),
    _xlpm._u3 ^ (1 / 3)
)</f>
        <v>0.36248786684292039</v>
      </c>
      <c r="DC69" s="31">
        <v>-3.2837054041764013E-2</v>
      </c>
      <c r="DD69" s="31">
        <v>0.34106140776429628</v>
      </c>
      <c r="EG69" s="31">
        <v>3.3589408830859262</v>
      </c>
      <c r="FE69" s="31">
        <v>332.03915642341349</v>
      </c>
      <c r="FF69" s="31">
        <v>2537.2912804020002</v>
      </c>
      <c r="FH69" s="31">
        <v>33.85857111484691</v>
      </c>
      <c r="FI69" s="31">
        <v>2537.2912804020002</v>
      </c>
      <c r="FM69" s="31">
        <v>0</v>
      </c>
      <c r="FP69" s="31">
        <v>0</v>
      </c>
    </row>
    <row r="70" spans="49:172" ht="20.25" customHeight="1">
      <c r="AW70" s="31">
        <v>3.9448010559208995</v>
      </c>
      <c r="AX70" s="31">
        <v>3.3589408830859258</v>
      </c>
      <c r="AZ70" s="31">
        <v>4.0610904853977789</v>
      </c>
      <c r="BA70" s="31">
        <v>3.1890789989214818</v>
      </c>
      <c r="BQ70" s="31" t="s">
        <v>148</v>
      </c>
      <c r="BR70" s="31" t="str">
        <f>_xlfn.LET(
    _xlpm._u, BR69,
    _xlpm._a, _xlpm._u * -1 / 2,
    _xlpm._b, _xlpm._u * SQRT(3) / 2,
    COMPLEX(_xlpm._a, _xlpm._b)
)</f>
        <v>-0.18124393342146+0.3139237012496i</v>
      </c>
      <c r="DC70" s="31">
        <v>-3.6064070288920669E-2</v>
      </c>
      <c r="DD70" s="31">
        <v>0.34672347056977776</v>
      </c>
      <c r="EG70" s="31">
        <v>3.4155615111407411</v>
      </c>
      <c r="FE70" s="31">
        <v>328.9483293172201</v>
      </c>
      <c r="FF70" s="31">
        <v>2583.1539891264001</v>
      </c>
      <c r="FH70" s="31">
        <v>33.54339446367721</v>
      </c>
      <c r="FI70" s="31">
        <v>2583.1539891264001</v>
      </c>
      <c r="FM70" s="31">
        <v>0</v>
      </c>
      <c r="FP70" s="31">
        <v>0</v>
      </c>
    </row>
    <row r="71" spans="49:172" ht="20.25" customHeight="1">
      <c r="AW71" s="31">
        <v>3.8855589029824245</v>
      </c>
      <c r="AX71" s="31">
        <v>3.4438718251681477</v>
      </c>
      <c r="AZ71" s="31">
        <v>4.0226370801111546</v>
      </c>
      <c r="BA71" s="31">
        <v>3.2456996269762968</v>
      </c>
      <c r="BQ71" s="31" t="s">
        <v>147</v>
      </c>
      <c r="BR71" s="31" t="str">
        <f>_xlfn.LET(
    _xlpm._u, BR69,
    _xlpm._a, _xlpm._u * -1 / 2,
    _xlpm._b, _xlpm._u * -1 * SQRT(3) / 2,
    COMPLEX(_xlpm._a, _xlpm._b)
)</f>
        <v>-0.18124393342146-0.3139237012496i</v>
      </c>
      <c r="DC71" s="31">
        <v>-3.9278596329952481E-2</v>
      </c>
      <c r="DD71" s="31">
        <v>0.35238553337525924</v>
      </c>
      <c r="EG71" s="31">
        <v>3.4721821391955561</v>
      </c>
      <c r="FE71" s="31">
        <v>325.83360348900351</v>
      </c>
      <c r="FF71" s="31">
        <v>2629.0166978508005</v>
      </c>
      <c r="FH71" s="31">
        <v>33.225780821075858</v>
      </c>
      <c r="FI71" s="31">
        <v>2629.0166978508005</v>
      </c>
      <c r="FM71" s="31">
        <v>0</v>
      </c>
      <c r="FP71" s="31">
        <v>0</v>
      </c>
    </row>
    <row r="72" spans="49:172" ht="20.25" customHeight="1">
      <c r="AW72" s="31">
        <v>3.8255165885051623</v>
      </c>
      <c r="AX72" s="31">
        <v>3.5288027672503697</v>
      </c>
      <c r="AZ72" s="31">
        <v>3.9838780110084748</v>
      </c>
      <c r="BA72" s="31">
        <v>3.3023202550311117</v>
      </c>
      <c r="BP72" s="31" t="s">
        <v>146</v>
      </c>
      <c r="DC72" s="31">
        <v>-4.2480660499121026E-2</v>
      </c>
      <c r="DD72" s="31">
        <v>0.35804759618074072</v>
      </c>
      <c r="EG72" s="31">
        <v>3.528802767250371</v>
      </c>
      <c r="FE72" s="31">
        <v>322.69411889168646</v>
      </c>
      <c r="FF72" s="31">
        <v>2674.8794065752004</v>
      </c>
      <c r="FH72" s="31">
        <v>32.905642486647992</v>
      </c>
      <c r="FI72" s="31">
        <v>2674.8794065752008</v>
      </c>
      <c r="FM72" s="31">
        <v>0</v>
      </c>
      <c r="FP72" s="31">
        <v>0</v>
      </c>
    </row>
    <row r="73" spans="49:172" ht="20.25" customHeight="1">
      <c r="AW73" s="31">
        <v>3.7646125582008039</v>
      </c>
      <c r="AX73" s="31">
        <v>3.6137337093325925</v>
      </c>
      <c r="AZ73" s="31">
        <v>3.9448010559208981</v>
      </c>
      <c r="BA73" s="31">
        <v>3.3589408830859262</v>
      </c>
      <c r="BQ73" s="31" t="s">
        <v>145</v>
      </c>
      <c r="BR73" s="31">
        <f>_xlfn.LET(
    _xlpm._K0, BR62,
    _xlpm._K1, BR63,
    _xlpm._u3, _xlpm._K0 - SQRT(_xlpm._K1),
    _xlpm._u3 ^ (1 / 3)
)</f>
        <v>-2.9204876323648929</v>
      </c>
      <c r="DC73" s="31">
        <v>-4.567029113068774E-2</v>
      </c>
      <c r="DD73" s="31">
        <v>0.36370965898622221</v>
      </c>
      <c r="EG73" s="31">
        <v>3.5854233953051855</v>
      </c>
      <c r="FE73" s="31">
        <v>319.52888552959274</v>
      </c>
      <c r="FF73" s="31">
        <v>2720.7421152996003</v>
      </c>
      <c r="FH73" s="31">
        <v>32.582878508929426</v>
      </c>
      <c r="FI73" s="31">
        <v>2720.7421152996003</v>
      </c>
      <c r="FM73" s="31">
        <v>0</v>
      </c>
      <c r="FP73" s="31">
        <v>0</v>
      </c>
    </row>
    <row r="74" spans="49:172" ht="20.25" customHeight="1">
      <c r="AW74" s="31">
        <v>3.7027771359936468</v>
      </c>
      <c r="AX74" s="31">
        <v>3.6986646514148145</v>
      </c>
      <c r="AZ74" s="31">
        <v>3.9053923883759034</v>
      </c>
      <c r="BA74" s="31">
        <v>3.4155615111407411</v>
      </c>
      <c r="BQ74" s="31" t="s">
        <v>144</v>
      </c>
      <c r="BR74" s="31" t="str">
        <f>_xlfn.LET(
    _xlpm._u, BR73,
    _xlpm._a, _xlpm._u * -1 / 2,
    _xlpm._b, _xlpm._u * SQRT(3) / 2,
    COMPLEX(_xlpm._a, _xlpm._b)
)</f>
        <v>1.46024381618245-2.52921648106627i</v>
      </c>
      <c r="DC74" s="31">
        <v>-4.8847516558914145E-2</v>
      </c>
      <c r="DD74" s="31">
        <v>0.36937172179170369</v>
      </c>
      <c r="EG74" s="31">
        <v>3.6420440233600004</v>
      </c>
      <c r="FE74" s="31">
        <v>316.33678345844822</v>
      </c>
      <c r="FF74" s="31">
        <v>2766.6048240240002</v>
      </c>
      <c r="FH74" s="31">
        <v>32.257374685386779</v>
      </c>
      <c r="FI74" s="31">
        <v>2766.6048240240002</v>
      </c>
      <c r="FM74" s="31">
        <v>0</v>
      </c>
      <c r="FP74" s="31">
        <v>0</v>
      </c>
    </row>
    <row r="75" spans="49:172" ht="20.25" customHeight="1">
      <c r="AW75" s="31">
        <v>3.6399325240205984</v>
      </c>
      <c r="AX75" s="31">
        <v>3.7835955934970364</v>
      </c>
      <c r="AZ75" s="31">
        <v>3.8656365775972867</v>
      </c>
      <c r="BA75" s="31">
        <v>3.4721821391955561</v>
      </c>
      <c r="BQ75" s="31" t="s">
        <v>143</v>
      </c>
      <c r="BR75" s="31" t="str">
        <f>_xlfn.LET(
    _xlpm._u, BR73,
    _xlpm._a, _xlpm._u * -1 / 2,
    _xlpm._b, _xlpm._u * -1 * SQRT(3) / 2,
    COMPLEX(_xlpm._a, _xlpm._b)
)</f>
        <v>1.46024381618245+2.52921648106627i</v>
      </c>
      <c r="DC75" s="31">
        <v>-5.2012365118061787E-2</v>
      </c>
      <c r="DD75" s="31">
        <v>0.37503378459718517</v>
      </c>
      <c r="EG75" s="31">
        <v>3.6986646514148154</v>
      </c>
      <c r="FE75" s="31">
        <v>313.11656278538021</v>
      </c>
      <c r="FF75" s="31">
        <v>2812.4675327484006</v>
      </c>
      <c r="FH75" s="31">
        <v>31.92900356241736</v>
      </c>
      <c r="FI75" s="31">
        <v>2812.4675327484006</v>
      </c>
      <c r="FM75" s="31">
        <v>0</v>
      </c>
      <c r="FP75" s="31">
        <v>0</v>
      </c>
    </row>
    <row r="76" spans="49:172" ht="20.25" customHeight="1">
      <c r="AW76" s="31">
        <v>3.5759928026311725</v>
      </c>
      <c r="AX76" s="31">
        <v>3.8685265355792584</v>
      </c>
      <c r="AZ76" s="31">
        <v>3.825516588505161</v>
      </c>
      <c r="BA76" s="31">
        <v>3.528802767250371</v>
      </c>
      <c r="DC76" s="31">
        <v>-5.5164865142392161E-2</v>
      </c>
      <c r="DD76" s="31">
        <v>0.38069584740266665</v>
      </c>
      <c r="EG76" s="31">
        <v>3.7552852794696299</v>
      </c>
      <c r="FE76" s="31">
        <v>309.86684366891802</v>
      </c>
      <c r="FF76" s="31">
        <v>2858.3302414728</v>
      </c>
      <c r="FH76" s="31">
        <v>31.597624435349282</v>
      </c>
      <c r="FI76" s="31">
        <v>2858.3302414728</v>
      </c>
      <c r="FM76" s="31">
        <v>0</v>
      </c>
      <c r="FP76" s="31">
        <v>0</v>
      </c>
    </row>
    <row r="77" spans="49:172" ht="20.25" customHeight="1">
      <c r="AW77" s="31">
        <v>3.5108639303874947</v>
      </c>
      <c r="AX77" s="31">
        <v>3.9534574776614813</v>
      </c>
      <c r="AZ77" s="31">
        <v>3.7850137817159597</v>
      </c>
      <c r="BA77" s="31">
        <v>3.5854233953051855</v>
      </c>
      <c r="DC77" s="31">
        <v>-5.8305044966166786E-2</v>
      </c>
      <c r="DD77" s="31">
        <v>0.38635791020814814</v>
      </c>
      <c r="EG77" s="31">
        <v>3.8119059075244448</v>
      </c>
      <c r="FE77" s="31">
        <v>306.58611631899271</v>
      </c>
      <c r="FF77" s="31">
        <v>2904.1929501971999</v>
      </c>
      <c r="FH77" s="31">
        <v>31.263083348441391</v>
      </c>
      <c r="FI77" s="31">
        <v>2904.1929501971999</v>
      </c>
      <c r="FM77" s="31">
        <v>0</v>
      </c>
      <c r="FP77" s="31">
        <v>0</v>
      </c>
    </row>
    <row r="78" spans="49:172" ht="20.25" customHeight="1">
      <c r="AW78" s="31">
        <v>3.4444437440642961</v>
      </c>
      <c r="AX78" s="31">
        <v>4.0383884197437032</v>
      </c>
      <c r="AZ78" s="31">
        <v>3.744107913542432</v>
      </c>
      <c r="BA78" s="31">
        <v>3.6420440233600004</v>
      </c>
      <c r="DC78" s="31">
        <v>-6.1432932923647154E-2</v>
      </c>
      <c r="DD78" s="31">
        <v>0.39201997301362962</v>
      </c>
      <c r="EG78" s="31">
        <v>3.8685265355792597</v>
      </c>
      <c r="FE78" s="31">
        <v>303.27274099693699</v>
      </c>
      <c r="FF78" s="31">
        <v>2950.0556589215998</v>
      </c>
      <c r="FH78" s="31">
        <v>30.925213094883272</v>
      </c>
      <c r="FI78" s="31">
        <v>2950.0556589215998</v>
      </c>
      <c r="FM78" s="31">
        <v>0</v>
      </c>
      <c r="FP78" s="31">
        <v>0</v>
      </c>
    </row>
    <row r="79" spans="49:172" ht="20.25" customHeight="1">
      <c r="AW79" s="31">
        <v>3.3766219586489208</v>
      </c>
      <c r="AX79" s="31">
        <v>4.1233193618259252</v>
      </c>
      <c r="AZ79" s="31">
        <v>3.7027771359936454</v>
      </c>
      <c r="BA79" s="31">
        <v>3.6986646514148154</v>
      </c>
      <c r="DC79" s="31">
        <v>-6.4548557349094871E-2</v>
      </c>
      <c r="DD79" s="31">
        <v>0.3976820358191111</v>
      </c>
      <c r="EG79" s="31">
        <v>3.9251471636340747</v>
      </c>
      <c r="FE79" s="31">
        <v>299.92494801548526</v>
      </c>
      <c r="FF79" s="31">
        <v>2995.9183676460007</v>
      </c>
      <c r="FH79" s="31">
        <v>30.583833216795263</v>
      </c>
      <c r="FI79" s="31">
        <v>2995.9183676460007</v>
      </c>
      <c r="FM79" s="31">
        <v>0</v>
      </c>
      <c r="FP79" s="31">
        <v>0</v>
      </c>
    </row>
    <row r="80" spans="49:172" ht="20.25" customHeight="1">
      <c r="AW80" s="31">
        <v>3.3072801673413155</v>
      </c>
      <c r="AX80" s="31">
        <v>4.208250303908148</v>
      </c>
      <c r="AZ80" s="31">
        <v>3.6609979967749857</v>
      </c>
      <c r="BA80" s="31">
        <v>3.7552852794696299</v>
      </c>
      <c r="DC80" s="31">
        <v>-6.765194657677126E-2</v>
      </c>
      <c r="DD80" s="31">
        <v>0.40334409862459258</v>
      </c>
      <c r="EG80" s="31">
        <v>3.9817677916888892</v>
      </c>
      <c r="FE80" s="31">
        <v>296.54083773877386</v>
      </c>
      <c r="FF80" s="31">
        <v>3041.7810763704001</v>
      </c>
      <c r="FH80" s="31">
        <v>30.238750005228482</v>
      </c>
      <c r="FI80" s="31">
        <v>3041.7810763704001</v>
      </c>
      <c r="FM80" s="31">
        <v>0</v>
      </c>
      <c r="FP80" s="31">
        <v>0</v>
      </c>
    </row>
    <row r="81" spans="49:172" ht="20.25" customHeight="1">
      <c r="AW81" s="31">
        <v>3.2362918415540411</v>
      </c>
      <c r="AX81" s="31">
        <v>4.29318124599037</v>
      </c>
      <c r="AZ81" s="31">
        <v>3.6187454392881544</v>
      </c>
      <c r="BA81" s="31">
        <v>3.8119059075244448</v>
      </c>
      <c r="BQ81" s="31" t="s">
        <v>135</v>
      </c>
      <c r="BR81" s="31">
        <f>_xlfn.LET(
    _xlpm._u, BR69,
    _xlpm._v, BR73,
    _xlpm._u + _xlpm._v
)</f>
        <v>-2.5579997655219726</v>
      </c>
      <c r="DC81" s="31">
        <v>-7.0743128940937983E-2</v>
      </c>
      <c r="DD81" s="31">
        <v>0.40900616143007407</v>
      </c>
      <c r="EG81" s="31">
        <v>4.0383884197437041</v>
      </c>
      <c r="FE81" s="31">
        <v>293.11838058234054</v>
      </c>
      <c r="FF81" s="31">
        <v>3087.6437850948005</v>
      </c>
      <c r="FH81" s="31">
        <v>29.88975650016474</v>
      </c>
      <c r="FI81" s="31">
        <v>3087.6437850948005</v>
      </c>
      <c r="FM81" s="31">
        <v>0</v>
      </c>
      <c r="FP81" s="31">
        <v>0</v>
      </c>
    </row>
    <row r="82" spans="49:172" ht="20.25" customHeight="1">
      <c r="AW82" s="31">
        <v>3.1635223309122678</v>
      </c>
      <c r="AX82" s="31">
        <v>4.3781121880725919</v>
      </c>
      <c r="AZ82" s="31">
        <v>3.5759928026311716</v>
      </c>
      <c r="BA82" s="31">
        <v>3.8685265355792597</v>
      </c>
      <c r="BQ82" s="31" t="s">
        <v>134</v>
      </c>
      <c r="BR82" s="31" t="str">
        <f>_xlfn.LET(
    _xlpm._uomega2, BR71,
    _xlpm._vomega, BR74,
    COMPLEX(
        IMREAL(_xlpm._uomega2) + IMREAL(_xlpm._vomega),
        IMAGINARY(_xlpm._uomega2) + IMAGINARY(_xlpm._vomega)
    )
)</f>
        <v>1.27899988276099-2.84314018231587i</v>
      </c>
      <c r="DC82" s="31">
        <v>-7.3822132775856475E-2</v>
      </c>
      <c r="DD82" s="31">
        <v>0.41466822423555555</v>
      </c>
      <c r="EG82" s="31">
        <v>4.0950090477985182</v>
      </c>
      <c r="FE82" s="31">
        <v>289.65541701312492</v>
      </c>
      <c r="FF82" s="31">
        <v>3133.5064938192004</v>
      </c>
      <c r="FH82" s="31">
        <v>29.536632490516631</v>
      </c>
      <c r="FI82" s="31">
        <v>3133.5064938192004</v>
      </c>
      <c r="FM82" s="31">
        <v>0</v>
      </c>
      <c r="FP82" s="31">
        <v>0</v>
      </c>
    </row>
    <row r="83" spans="49:172" ht="20.25" customHeight="1">
      <c r="AW83" s="31">
        <v>3.0888288632537662</v>
      </c>
      <c r="AX83" s="31">
        <v>4.4630431301548139</v>
      </c>
      <c r="AZ83" s="31">
        <v>3.5327118215983777</v>
      </c>
      <c r="BA83" s="31">
        <v>3.9251471636340747</v>
      </c>
      <c r="BQ83" s="31" t="s">
        <v>133</v>
      </c>
      <c r="BR83" s="31" t="str">
        <f>_xlfn.LET(
    _xlpm._uomega, BR70,
    _xlpm._vomega2, BR75,
    COMPLEX(
        IMREAL(_xlpm._uomega) + IMREAL(_xlpm._vomega2),
        IMAGINARY(_xlpm._uomega) + IMAGINARY(_xlpm._vomega2)
    )
)</f>
        <v>1.27899988276099+2.84314018231587i</v>
      </c>
      <c r="DC83" s="31">
        <v>-7.6888986415788285E-2</v>
      </c>
      <c r="DD83" s="31">
        <v>0.42033028704103703</v>
      </c>
      <c r="EG83" s="31">
        <v>4.1516296758533331</v>
      </c>
      <c r="FE83" s="31">
        <v>286.1496575494686</v>
      </c>
      <c r="FF83" s="31">
        <v>3179.3692025436007</v>
      </c>
      <c r="FH83" s="31">
        <v>29.179144514127515</v>
      </c>
      <c r="FI83" s="31">
        <v>3179.3692025436012</v>
      </c>
      <c r="FM83" s="31">
        <v>0</v>
      </c>
      <c r="FP83" s="31">
        <v>0</v>
      </c>
    </row>
    <row r="84" spans="49:172" ht="20.25" customHeight="1">
      <c r="AW84" s="31">
        <v>3.0120605446289255</v>
      </c>
      <c r="AX84" s="31">
        <v>4.5479740722370368</v>
      </c>
      <c r="AZ84" s="31">
        <v>3.4888726266804273</v>
      </c>
      <c r="BA84" s="31">
        <v>3.9817677916888892</v>
      </c>
      <c r="DC84" s="31">
        <v>-7.9943718194994906E-2</v>
      </c>
      <c r="DD84" s="31">
        <v>0.42599234984651851</v>
      </c>
      <c r="EG84" s="31">
        <v>4.208250303908148</v>
      </c>
      <c r="FE84" s="31">
        <v>282.59868276111462</v>
      </c>
      <c r="FF84" s="31">
        <v>3225.2319112680002</v>
      </c>
      <c r="FH84" s="31">
        <v>28.817045857771475</v>
      </c>
      <c r="FI84" s="31">
        <v>3225.2319112680002</v>
      </c>
      <c r="FM84" s="31">
        <v>0</v>
      </c>
      <c r="FP84" s="31">
        <v>0</v>
      </c>
    </row>
    <row r="85" spans="49:172" ht="20.25" customHeight="1">
      <c r="AW85" s="31">
        <v>2.9330583593007384</v>
      </c>
      <c r="AX85" s="31">
        <v>4.6329050143192587</v>
      </c>
      <c r="AZ85" s="31">
        <v>3.4444437440642948</v>
      </c>
      <c r="BA85" s="31">
        <v>4.0383884197437041</v>
      </c>
      <c r="BO85" s="31" t="s">
        <v>142</v>
      </c>
      <c r="DC85" s="31">
        <v>-8.2986356447737997E-2</v>
      </c>
      <c r="DD85" s="31">
        <v>0.431654412652</v>
      </c>
      <c r="EG85" s="31">
        <v>4.264870931962963</v>
      </c>
      <c r="FE85" s="31">
        <v>278.99994326920785</v>
      </c>
      <c r="FF85" s="31">
        <v>3271.0946199924001</v>
      </c>
      <c r="FH85" s="31">
        <v>28.450076557153345</v>
      </c>
      <c r="FI85" s="31">
        <v>3271.0946199924001</v>
      </c>
      <c r="FM85" s="31">
        <v>0</v>
      </c>
      <c r="FP85" s="31">
        <v>0</v>
      </c>
    </row>
    <row r="86" spans="49:172" ht="20.25" customHeight="1">
      <c r="AW86" s="31">
        <v>2.8516551697448067</v>
      </c>
      <c r="AX86" s="31">
        <v>4.7178359564014807</v>
      </c>
      <c r="AZ86" s="31">
        <v>3.3993920956332744</v>
      </c>
      <c r="BA86" s="31">
        <v>4.0950090477985182</v>
      </c>
      <c r="BO86" s="31" t="s">
        <v>141</v>
      </c>
      <c r="DC86" s="31">
        <v>-8.6016929508278772E-2</v>
      </c>
      <c r="DD86" s="31">
        <v>0.43731647545748148</v>
      </c>
      <c r="EG86" s="31">
        <v>4.3214915600177779</v>
      </c>
      <c r="FE86" s="31">
        <v>275.35075974629524</v>
      </c>
      <c r="FF86" s="31">
        <v>3316.9573287167996</v>
      </c>
      <c r="FH86" s="31">
        <v>28.077963396908757</v>
      </c>
      <c r="FI86" s="31">
        <v>3316.9573287167996</v>
      </c>
      <c r="FM86" s="31">
        <v>0</v>
      </c>
      <c r="FP86" s="31">
        <v>0</v>
      </c>
    </row>
    <row r="87" spans="49:172" ht="20.25" customHeight="1">
      <c r="AW87" s="31">
        <v>2.7676757166493413</v>
      </c>
      <c r="AX87" s="31">
        <v>4.8027668984837035</v>
      </c>
      <c r="AZ87" s="31">
        <v>3.3536829989669714</v>
      </c>
      <c r="BA87" s="31">
        <v>4.1516296758533331</v>
      </c>
      <c r="DC87" s="31">
        <v>-8.9035465710878947E-2</v>
      </c>
      <c r="DD87" s="31">
        <v>0.44297853826296296</v>
      </c>
      <c r="EG87" s="31">
        <v>4.3781121880725928</v>
      </c>
      <c r="FE87" s="31">
        <v>271.64832291632467</v>
      </c>
      <c r="FF87" s="31">
        <v>3362.8200374411999</v>
      </c>
      <c r="FH87" s="31">
        <v>27.700419910603998</v>
      </c>
      <c r="FI87" s="31">
        <v>3362.8200374412004</v>
      </c>
      <c r="FM87" s="31">
        <v>0</v>
      </c>
      <c r="FP87" s="31">
        <v>0</v>
      </c>
    </row>
    <row r="88" spans="49:172" ht="20.25" customHeight="1">
      <c r="AW88" s="31">
        <v>2.6809366189151618</v>
      </c>
      <c r="AX88" s="31">
        <v>4.8876978405659255</v>
      </c>
      <c r="AZ88" s="31">
        <v>3.3072801673413155</v>
      </c>
      <c r="BA88" s="31">
        <v>4.208250303908148</v>
      </c>
      <c r="DC88" s="31">
        <v>-9.2041993389800014E-2</v>
      </c>
      <c r="DD88" s="31">
        <v>0.44864060106844444</v>
      </c>
      <c r="EG88" s="31">
        <v>4.4347328161274078</v>
      </c>
      <c r="FE88" s="31">
        <v>267.88969355464656</v>
      </c>
      <c r="FF88" s="31">
        <v>3408.6827461656003</v>
      </c>
      <c r="FH88" s="31">
        <v>27.31714638073619</v>
      </c>
      <c r="FI88" s="31">
        <v>3408.6827461656003</v>
      </c>
      <c r="FM88" s="31">
        <v>0</v>
      </c>
      <c r="FP88" s="31">
        <v>0</v>
      </c>
    </row>
    <row r="89" spans="49:172" ht="20.25" customHeight="1">
      <c r="AW89" s="31">
        <v>2.5912463736556988</v>
      </c>
      <c r="AX89" s="31">
        <v>4.9726287826481474</v>
      </c>
      <c r="AZ89" s="31">
        <v>3.2601457097285502</v>
      </c>
      <c r="BA89" s="31">
        <v>4.264870931962963</v>
      </c>
      <c r="BQ89" s="31" t="s">
        <v>140</v>
      </c>
      <c r="BR89" s="31">
        <f>_xlfn.LET(
    _xlpm._p, BR28,
    _xlpm._q, BR29,
    -1 * (4 * _xlpm._p ^ 3 + 27 * _xlpm._q ^ 2)
)</f>
        <v>-16817.260445759734</v>
      </c>
      <c r="DC89" s="31">
        <v>-9.5036540879303411E-2</v>
      </c>
      <c r="DD89" s="31">
        <v>0.45430266387392593</v>
      </c>
      <c r="EG89" s="31">
        <v>4.4913534441822227</v>
      </c>
      <c r="FE89" s="31">
        <v>264.07180248801257</v>
      </c>
      <c r="FF89" s="31">
        <v>3454.5454548900002</v>
      </c>
      <c r="FH89" s="31">
        <v>26.927829838733167</v>
      </c>
      <c r="FI89" s="31">
        <v>3454.5454548900002</v>
      </c>
      <c r="FM89" s="31">
        <v>0</v>
      </c>
      <c r="FP89" s="31">
        <v>0</v>
      </c>
    </row>
    <row r="90" spans="49:172" ht="20.25" customHeight="1">
      <c r="AW90" s="31">
        <v>2.4984053561969848</v>
      </c>
      <c r="AX90" s="31">
        <v>5.0575597247303703</v>
      </c>
      <c r="AZ90" s="31">
        <v>3.2122401307972419</v>
      </c>
      <c r="BA90" s="31">
        <v>4.3214915600177779</v>
      </c>
      <c r="DC90" s="31">
        <v>-9.801913651365074E-2</v>
      </c>
      <c r="DD90" s="31">
        <v>0.45996472667940741</v>
      </c>
      <c r="EG90" s="31">
        <v>4.5479740722370368</v>
      </c>
      <c r="FE90" s="31">
        <v>260.19145059457657</v>
      </c>
      <c r="FF90" s="31">
        <v>3500.4081636144006</v>
      </c>
      <c r="FH90" s="31">
        <v>26.532144064953531</v>
      </c>
      <c r="FI90" s="31">
        <v>3500.4081636144006</v>
      </c>
      <c r="FM90" s="31">
        <v>0</v>
      </c>
      <c r="FP90" s="31">
        <v>0</v>
      </c>
    </row>
    <row r="91" spans="49:172" ht="20.25" customHeight="1">
      <c r="AW91" s="31">
        <v>2.4022058200776719</v>
      </c>
      <c r="AX91" s="31">
        <v>5.1424906668125923</v>
      </c>
      <c r="AZ91" s="31">
        <v>3.1635223309122669</v>
      </c>
      <c r="BA91" s="31">
        <v>4.3781121880725928</v>
      </c>
      <c r="BO91" s="31" t="s">
        <v>139</v>
      </c>
      <c r="DC91" s="31">
        <v>-0.10098980862710344</v>
      </c>
      <c r="DD91" s="31">
        <v>0.46562678948488889</v>
      </c>
      <c r="EG91" s="31">
        <v>4.6045947002918517</v>
      </c>
      <c r="FE91" s="31">
        <v>256.24530880389358</v>
      </c>
      <c r="FF91" s="31">
        <v>3546.2708723388</v>
      </c>
      <c r="FH91" s="31">
        <v>26.129749588686614</v>
      </c>
      <c r="FI91" s="31">
        <v>3546.2708723388005</v>
      </c>
      <c r="FM91" s="31">
        <v>0</v>
      </c>
      <c r="FP91" s="31">
        <v>0</v>
      </c>
    </row>
    <row r="92" spans="49:172" ht="20.25" customHeight="1">
      <c r="AW92" s="31">
        <v>2.3024318970490136</v>
      </c>
      <c r="AX92" s="31">
        <v>5.2274216088948142</v>
      </c>
      <c r="AZ92" s="31">
        <v>3.1139496061348249</v>
      </c>
      <c r="BA92" s="31">
        <v>4.4347328161274078</v>
      </c>
      <c r="BO92" s="31" t="s">
        <v>138</v>
      </c>
      <c r="DC92" s="31">
        <v>-0.10394858555392317</v>
      </c>
      <c r="DD92" s="31">
        <v>0.47128885229037037</v>
      </c>
      <c r="EG92" s="31">
        <v>4.6612153283466666</v>
      </c>
      <c r="FE92" s="31">
        <v>252.22991809692081</v>
      </c>
      <c r="FF92" s="31">
        <v>3592.1335810632008</v>
      </c>
      <c r="FH92" s="31">
        <v>25.720293688152509</v>
      </c>
      <c r="FI92" s="31">
        <v>3592.1335810632008</v>
      </c>
      <c r="FM92" s="31">
        <v>0</v>
      </c>
      <c r="FP92" s="31">
        <v>0</v>
      </c>
    </row>
    <row r="93" spans="49:172" ht="20.25" customHeight="1">
      <c r="AW93" s="31">
        <v>2.1988595970748683</v>
      </c>
      <c r="AX93" s="31">
        <v>5.3123525509770362</v>
      </c>
      <c r="AZ93" s="31">
        <v>3.0634776482224328</v>
      </c>
      <c r="BA93" s="31">
        <v>4.4913534441822227</v>
      </c>
      <c r="BO93" s="31" t="s">
        <v>137</v>
      </c>
      <c r="DC93" s="31">
        <v>-0.1068954956283712</v>
      </c>
      <c r="DD93" s="31">
        <v>0.47695091509585186</v>
      </c>
      <c r="EG93" s="31">
        <v>4.7178359564014816</v>
      </c>
      <c r="FE93" s="31">
        <v>248.14168950601706</v>
      </c>
      <c r="FF93" s="31">
        <v>3637.9962897876003</v>
      </c>
      <c r="FH93" s="31">
        <v>25.303410390502066</v>
      </c>
      <c r="FI93" s="31">
        <v>3637.9962897876003</v>
      </c>
      <c r="FM93" s="31">
        <v>0</v>
      </c>
      <c r="FP93" s="31">
        <v>0</v>
      </c>
    </row>
    <row r="94" spans="49:172" ht="20.25" customHeight="1">
      <c r="AW94" s="31">
        <v>2.0912568083317096</v>
      </c>
      <c r="AX94" s="31">
        <v>5.397283493059259</v>
      </c>
      <c r="AZ94" s="31">
        <v>3.0120605446289255</v>
      </c>
      <c r="BA94" s="31">
        <v>4.5479740722370368</v>
      </c>
      <c r="DC94" s="31">
        <v>-0.10983056718470918</v>
      </c>
      <c r="DD94" s="31">
        <v>0.48261297790133334</v>
      </c>
      <c r="EG94" s="31">
        <v>4.7744565844562965</v>
      </c>
      <c r="FE94" s="31">
        <v>243.97690411494301</v>
      </c>
      <c r="FF94" s="31">
        <v>3683.8589985120002</v>
      </c>
      <c r="FH94" s="31">
        <v>24.878720471816884</v>
      </c>
      <c r="FI94" s="31">
        <v>3683.8589985120002</v>
      </c>
      <c r="FM94" s="31">
        <v>0</v>
      </c>
      <c r="FP94" s="31">
        <v>0</v>
      </c>
    </row>
    <row r="95" spans="49:172" ht="20.25" customHeight="1">
      <c r="AW95" s="31">
        <v>1.9793832972086221</v>
      </c>
      <c r="AX95" s="31">
        <v>5.482214435141481</v>
      </c>
      <c r="AZ95" s="31">
        <v>2.9596507785044515</v>
      </c>
      <c r="BA95" s="31">
        <v>4.6045947002918517</v>
      </c>
      <c r="BO95" s="31" t="s">
        <v>136</v>
      </c>
      <c r="DC95" s="31">
        <v>-0.11275382855719862</v>
      </c>
      <c r="DD95" s="31">
        <v>0.48827504070681482</v>
      </c>
      <c r="EG95" s="31">
        <v>4.8310772125111114</v>
      </c>
      <c r="FE95" s="31">
        <v>239.73171305886055</v>
      </c>
      <c r="FF95" s="31">
        <v>3729.7217072364001</v>
      </c>
      <c r="FH95" s="31">
        <v>24.445831457109264</v>
      </c>
      <c r="FI95" s="31">
        <v>3729.7217072364001</v>
      </c>
      <c r="FM95" s="31">
        <v>0</v>
      </c>
      <c r="FP95" s="31">
        <v>0</v>
      </c>
    </row>
    <row r="96" spans="49:172" ht="20.25" customHeight="1">
      <c r="AW96" s="31">
        <v>1.8629907083072945</v>
      </c>
      <c r="AX96" s="31">
        <v>5.567145377223703</v>
      </c>
      <c r="AZ96" s="31">
        <v>2.9061992286954825</v>
      </c>
      <c r="BA96" s="31">
        <v>4.6612153283466666</v>
      </c>
      <c r="DC96" s="31">
        <v>-0.115665308080101</v>
      </c>
      <c r="DD96" s="31">
        <v>0.4939371035122963</v>
      </c>
      <c r="EG96" s="31">
        <v>4.8876978405659264</v>
      </c>
      <c r="FE96" s="31">
        <v>235.40213752433408</v>
      </c>
      <c r="FF96" s="31">
        <v>3775.5844159608005</v>
      </c>
      <c r="FH96" s="31">
        <v>24.004337620322342</v>
      </c>
      <c r="FI96" s="31">
        <v>3775.5844159608005</v>
      </c>
      <c r="FM96" s="31">
        <v>0</v>
      </c>
      <c r="FP96" s="31">
        <v>0</v>
      </c>
    </row>
    <row r="97" spans="49:172" ht="20.25" customHeight="1">
      <c r="AW97" s="31">
        <v>1.7418225644420162</v>
      </c>
      <c r="AX97" s="31">
        <v>5.6520763193059258</v>
      </c>
      <c r="AZ97" s="31">
        <v>2.8516551697448054</v>
      </c>
      <c r="BA97" s="31">
        <v>4.7178359564014816</v>
      </c>
      <c r="DC97" s="31">
        <v>-0.11856503408767782</v>
      </c>
      <c r="DD97" s="31">
        <v>0.49959916631777779</v>
      </c>
      <c r="EG97" s="31">
        <v>4.9443184686207404</v>
      </c>
      <c r="FE97" s="31">
        <v>230.98406874932923</v>
      </c>
      <c r="FF97" s="31">
        <v>3821.4471246851999</v>
      </c>
      <c r="FH97" s="31">
        <v>23.553819984329945</v>
      </c>
      <c r="FI97" s="31">
        <v>3821.4471246851999</v>
      </c>
      <c r="FM97" s="31">
        <v>0</v>
      </c>
      <c r="FP97" s="31">
        <v>0</v>
      </c>
    </row>
    <row r="98" spans="49:172" ht="20.25" customHeight="1">
      <c r="AW98" s="31">
        <v>1.6156142666397075</v>
      </c>
      <c r="AX98" s="31">
        <v>5.7370072613881478</v>
      </c>
      <c r="AZ98" s="31">
        <v>2.7959662718915248</v>
      </c>
      <c r="BA98" s="31">
        <v>4.7744565844562965</v>
      </c>
      <c r="DC98" s="31">
        <v>-0.12145303491419074</v>
      </c>
      <c r="DD98" s="31">
        <v>0.50526122912325933</v>
      </c>
      <c r="EG98" s="31">
        <v>5.0009390966755554</v>
      </c>
      <c r="FE98" s="31">
        <v>226.47326802321348</v>
      </c>
      <c r="FF98" s="31">
        <v>3867.3098334096007</v>
      </c>
      <c r="FH98" s="31">
        <v>23.09384632093666</v>
      </c>
      <c r="FI98" s="31">
        <v>3867.3098334096012</v>
      </c>
      <c r="FM98" s="31">
        <v>0</v>
      </c>
      <c r="FP98" s="31">
        <v>0</v>
      </c>
    </row>
    <row r="99" spans="49:172" ht="20.25" customHeight="1">
      <c r="AW99" s="31">
        <v>1.4840930941398716</v>
      </c>
      <c r="AX99" s="31">
        <v>5.8219382034703697</v>
      </c>
      <c r="AZ99" s="31">
        <v>2.7390786010710633</v>
      </c>
      <c r="BA99" s="31">
        <v>4.8310772125111114</v>
      </c>
      <c r="DC99" s="31">
        <v>-0.12432933889390108</v>
      </c>
      <c r="DD99" s="31">
        <v>0.51092329192874075</v>
      </c>
      <c r="EG99" s="31">
        <v>5.0575597247303703</v>
      </c>
      <c r="FE99" s="31">
        <v>221.86536668675612</v>
      </c>
      <c r="FF99" s="31">
        <v>3913.1725421340002</v>
      </c>
      <c r="FH99" s="31">
        <v>22.623971150877839</v>
      </c>
      <c r="FI99" s="31">
        <v>3913.1725421340002</v>
      </c>
      <c r="FM99" s="31">
        <v>0</v>
      </c>
      <c r="FP99" s="31">
        <v>0</v>
      </c>
    </row>
    <row r="100" spans="49:172" ht="20.25" customHeight="1">
      <c r="AW100" s="31">
        <v>1.3469782043946417</v>
      </c>
      <c r="AX100" s="31">
        <v>5.9068691455525926</v>
      </c>
      <c r="AZ100" s="31">
        <v>2.6809366189151618</v>
      </c>
      <c r="BA100" s="31">
        <v>4.8876978405659264</v>
      </c>
      <c r="DC100" s="31">
        <v>-0.12719397436107044</v>
      </c>
      <c r="DD100" s="31">
        <v>0.51658535473422229</v>
      </c>
      <c r="EG100" s="31">
        <v>5.1141803527851852</v>
      </c>
      <c r="FE100" s="31">
        <v>217.15586613212812</v>
      </c>
      <c r="FF100" s="31">
        <v>3959.0352508584001</v>
      </c>
      <c r="FH100" s="31">
        <v>22.143735743819562</v>
      </c>
      <c r="FI100" s="31">
        <v>3959.0352508584001</v>
      </c>
      <c r="FM100" s="31">
        <v>0</v>
      </c>
      <c r="FP100" s="31">
        <v>0</v>
      </c>
    </row>
    <row r="101" spans="49:172" ht="20.25" customHeight="1">
      <c r="AW101" s="31">
        <v>1.2039806330687446</v>
      </c>
      <c r="AX101" s="31">
        <v>5.9918000876348145</v>
      </c>
      <c r="AZ101" s="31">
        <v>2.621483182751879</v>
      </c>
      <c r="BA101" s="31">
        <v>4.9443184686207404</v>
      </c>
      <c r="DC101" s="31">
        <v>-0.13004696964996021</v>
      </c>
      <c r="DD101" s="31">
        <v>0.52224741753970372</v>
      </c>
      <c r="EG101" s="31">
        <v>5.1708009808400002</v>
      </c>
      <c r="FE101" s="31">
        <v>212.34013780290221</v>
      </c>
      <c r="FF101" s="31">
        <v>4004.8979595828</v>
      </c>
      <c r="FH101" s="31">
        <v>21.652668118358687</v>
      </c>
      <c r="FI101" s="31">
        <v>4004.8979595828</v>
      </c>
      <c r="FM101" s="31">
        <v>0</v>
      </c>
      <c r="FP101" s="31">
        <v>0</v>
      </c>
    </row>
    <row r="102" spans="49:172" ht="20.25" customHeight="1">
      <c r="AW102" s="31">
        <v>1.0548032940395293</v>
      </c>
      <c r="AX102" s="31">
        <v>6.0767310297170365</v>
      </c>
      <c r="AZ102" s="31">
        <v>2.5606595456055876</v>
      </c>
      <c r="BA102" s="31">
        <v>5.0009390966755554</v>
      </c>
      <c r="DC102" s="31">
        <v>-0.13288835309483205</v>
      </c>
      <c r="DD102" s="31">
        <v>0.52790948034518514</v>
      </c>
      <c r="EG102" s="31">
        <v>5.2274216088948151</v>
      </c>
      <c r="FE102" s="31">
        <v>207.4134231940526</v>
      </c>
      <c r="FF102" s="31">
        <v>4050.7606683071995</v>
      </c>
      <c r="FH102" s="31">
        <v>21.150283042022771</v>
      </c>
      <c r="FI102" s="31">
        <v>4050.7606683071995</v>
      </c>
      <c r="FM102" s="31">
        <v>0</v>
      </c>
      <c r="FP102" s="31">
        <v>0</v>
      </c>
    </row>
    <row r="103" spans="49:172" ht="20.25" customHeight="1">
      <c r="AW103" s="31">
        <v>0.8991409793969396</v>
      </c>
      <c r="AX103" s="31">
        <v>6.1616619717992585</v>
      </c>
      <c r="AZ103" s="31">
        <v>2.4984053561969848</v>
      </c>
      <c r="BA103" s="31">
        <v>5.0575597247303703</v>
      </c>
      <c r="DC103" s="31">
        <v>-0.1357181530299475</v>
      </c>
      <c r="DD103" s="31">
        <v>0.53357154315066668</v>
      </c>
      <c r="EG103" s="31">
        <v>5.28404223694963</v>
      </c>
      <c r="FE103" s="31">
        <v>202.37083385195575</v>
      </c>
      <c r="FF103" s="31">
        <v>4096.6233770316003</v>
      </c>
      <c r="FH103" s="31">
        <v>20.636082031270185</v>
      </c>
      <c r="FI103" s="31">
        <v>4096.6233770316003</v>
      </c>
      <c r="FM103" s="31">
        <v>0</v>
      </c>
      <c r="FP103" s="31">
        <v>0</v>
      </c>
    </row>
    <row r="104" spans="49:172" ht="20.25" customHeight="1">
      <c r="AW104" s="31">
        <v>0.73668035944352894</v>
      </c>
      <c r="AX104" s="31">
        <v>6.2465929138814813</v>
      </c>
      <c r="AZ104" s="31">
        <v>2.434658658943083</v>
      </c>
      <c r="BA104" s="31">
        <v>5.1141803527851852</v>
      </c>
      <c r="DC104" s="31">
        <v>-0.13853639778956794</v>
      </c>
      <c r="DD104" s="31">
        <v>0.53923360595614811</v>
      </c>
      <c r="EG104" s="31">
        <v>5.340662865004445</v>
      </c>
      <c r="FE104" s="31">
        <v>197.2073513743897</v>
      </c>
      <c r="FF104" s="31">
        <v>4142.4860857559997</v>
      </c>
      <c r="FH104" s="31">
        <v>20.109553351490035</v>
      </c>
      <c r="FI104" s="31">
        <v>4142.4860857559997</v>
      </c>
      <c r="FM104" s="31">
        <v>0</v>
      </c>
      <c r="FP104" s="31">
        <v>0</v>
      </c>
    </row>
    <row r="105" spans="49:172" ht="20.25" customHeight="1">
      <c r="AW105" s="31">
        <v>0.56709998269448114</v>
      </c>
      <c r="AX105" s="31">
        <v>6.3315238559637033</v>
      </c>
      <c r="AZ105" s="31">
        <v>2.3693558939572092</v>
      </c>
      <c r="BA105" s="31">
        <v>5.1708009808400002</v>
      </c>
      <c r="DC105" s="31">
        <v>-0.14134311570795499</v>
      </c>
      <c r="DD105" s="31">
        <v>0.54489566876162965</v>
      </c>
      <c r="EG105" s="31">
        <v>5.397283493059259</v>
      </c>
      <c r="FE105" s="31">
        <v>191.91782741053393</v>
      </c>
      <c r="FF105" s="31">
        <v>4188.3487944804001</v>
      </c>
      <c r="FH105" s="31">
        <v>19.570172017002129</v>
      </c>
      <c r="FI105" s="31">
        <v>4188.3487944804001</v>
      </c>
      <c r="FM105" s="31">
        <v>0</v>
      </c>
      <c r="FP105" s="31">
        <v>0</v>
      </c>
    </row>
    <row r="106" spans="49:172" ht="20.25" customHeight="1">
      <c r="AW106" s="31">
        <v>0.39007027587755694</v>
      </c>
      <c r="AX106" s="31">
        <v>6.4164547980459252</v>
      </c>
      <c r="AZ106" s="31">
        <v>2.3024318970490101</v>
      </c>
      <c r="BA106" s="31">
        <v>5.2274216088948151</v>
      </c>
      <c r="DC106" s="31">
        <v>-0.14413833511937002</v>
      </c>
      <c r="DD106" s="31">
        <v>0.55055773156711107</v>
      </c>
      <c r="EG106" s="31">
        <v>5.453904121114074</v>
      </c>
      <c r="FE106" s="31">
        <v>186.49698366096985</v>
      </c>
      <c r="FF106" s="31">
        <v>4234.2115032048005</v>
      </c>
      <c r="FH106" s="31">
        <v>19.017399791057073</v>
      </c>
      <c r="FI106" s="31">
        <v>4234.2115032048005</v>
      </c>
      <c r="FM106" s="31">
        <v>0</v>
      </c>
      <c r="FP106" s="31">
        <v>0</v>
      </c>
    </row>
    <row r="107" spans="49:172" ht="20.25" customHeight="1">
      <c r="AW107" s="31">
        <v>0.20525354393315087</v>
      </c>
      <c r="AX107" s="31">
        <v>6.5013857401281481</v>
      </c>
      <c r="AZ107" s="31">
        <v>2.2338198997244532</v>
      </c>
      <c r="BA107" s="31">
        <v>5.28404223694963</v>
      </c>
      <c r="DC107" s="31">
        <v>-0.14692208435807474</v>
      </c>
      <c r="DD107" s="31">
        <v>0.55621979437259261</v>
      </c>
      <c r="EG107" s="31">
        <v>5.5105247491688889</v>
      </c>
      <c r="FE107" s="31">
        <v>180.9394118776807</v>
      </c>
      <c r="FF107" s="31">
        <v>4280.0742119291999</v>
      </c>
      <c r="FH107" s="31">
        <v>18.450685185836218</v>
      </c>
      <c r="FI107" s="31">
        <v>4280.0742119291999</v>
      </c>
      <c r="FM107" s="31">
        <v>0</v>
      </c>
      <c r="FP107" s="31">
        <v>0</v>
      </c>
    </row>
    <row r="108" spans="49:172" ht="20.25" customHeight="1">
      <c r="AW108" s="31">
        <v>1.2303970014256649E-2</v>
      </c>
      <c r="AX108" s="31">
        <v>6.58631668221037</v>
      </c>
      <c r="AZ108" s="31">
        <v>2.1634515291858212</v>
      </c>
      <c r="BA108" s="31">
        <v>5.340662865004445</v>
      </c>
      <c r="DC108" s="31">
        <v>-0.14969439175833044</v>
      </c>
      <c r="DD108" s="31">
        <v>0.56188185717807404</v>
      </c>
      <c r="EG108" s="31">
        <v>5.5671453772237038</v>
      </c>
      <c r="FE108" s="31">
        <v>175.23957386405152</v>
      </c>
      <c r="FF108" s="31">
        <v>4325.9369206536003</v>
      </c>
      <c r="FH108" s="31">
        <v>17.869463462451659</v>
      </c>
      <c r="FI108" s="31">
        <v>4325.9369206536003</v>
      </c>
      <c r="FM108" s="31">
        <v>0</v>
      </c>
      <c r="FP108" s="31">
        <v>0</v>
      </c>
    </row>
    <row r="109" spans="49:172" ht="20.25" customHeight="1">
      <c r="AW109" s="31">
        <v>-0.18913238451353465</v>
      </c>
      <c r="AX109" s="31">
        <v>6.671247624292592</v>
      </c>
      <c r="AZ109" s="31">
        <v>2.0912568083317096</v>
      </c>
      <c r="BA109" s="31">
        <v>5.397283493059259</v>
      </c>
      <c r="DC109" s="31">
        <v>-0.15245528565439881</v>
      </c>
      <c r="DD109" s="31">
        <v>0.56754391998355558</v>
      </c>
      <c r="EG109" s="31">
        <v>5.6237660052785188</v>
      </c>
      <c r="FE109" s="31">
        <v>169.39180147486849</v>
      </c>
      <c r="FF109" s="31">
        <v>4371.7996293779997</v>
      </c>
      <c r="FH109" s="31">
        <v>17.273156630946197</v>
      </c>
      <c r="FI109" s="31">
        <v>4371.7996293779997</v>
      </c>
      <c r="FM109" s="31">
        <v>0</v>
      </c>
      <c r="FP109" s="31">
        <v>0</v>
      </c>
    </row>
    <row r="110" spans="49:172" ht="20.25" customHeight="1">
      <c r="AW110" s="31">
        <v>-0.39941758007199191</v>
      </c>
      <c r="AX110" s="31">
        <v>6.756178566374814</v>
      </c>
      <c r="AZ110" s="31">
        <v>2.0171641557570421</v>
      </c>
      <c r="BA110" s="31">
        <v>5.453904121114074</v>
      </c>
      <c r="DC110" s="31">
        <v>-0.1552047943805413</v>
      </c>
      <c r="DD110" s="31">
        <v>0.57320598278903701</v>
      </c>
      <c r="EG110" s="31">
        <v>5.6803866333333337</v>
      </c>
      <c r="FE110" s="31">
        <v>163.39029661632046</v>
      </c>
      <c r="FF110" s="31">
        <v>4417.6623381024001</v>
      </c>
      <c r="FH110" s="31">
        <v>16.661173450293472</v>
      </c>
      <c r="FI110" s="31">
        <v>4417.6623381024001</v>
      </c>
      <c r="FM110" s="31">
        <v>0</v>
      </c>
      <c r="FP110" s="31">
        <v>0</v>
      </c>
    </row>
    <row r="111" spans="49:172" ht="20.25" customHeight="1">
      <c r="AW111" s="31">
        <v>-0.6189217988703124</v>
      </c>
      <c r="AX111" s="31">
        <v>6.8411095084570359</v>
      </c>
      <c r="AZ111" s="31">
        <v>1.9411003857530496</v>
      </c>
      <c r="BA111" s="31">
        <v>5.5105247491688889</v>
      </c>
      <c r="BQ111" s="31" t="s">
        <v>135</v>
      </c>
      <c r="BR111" s="31" t="e">
        <f>_xlfn.LET(
    _xlpm._p, BR28,
    _xlpm._q, BR29,
    _xlpm._K, 2 * SQRT(-1 * _xlpm._p / 3),
    _xlpm._theta, 1 / 3 * ACOS((3 * _xlpm._q) / (2 * _xlpm._p) * SQRT(-1 * 3 / _xlpm._p)),
    _xlpm._K * COS(_xlpm._theta)
)</f>
        <v>#NUM!</v>
      </c>
      <c r="DC111" s="31">
        <v>-0.1579429462710194</v>
      </c>
      <c r="DD111" s="31">
        <v>0.57886804559451854</v>
      </c>
      <c r="FE111" s="31">
        <v>157.229131245997</v>
      </c>
      <c r="FF111" s="31">
        <v>4463.5250468267996</v>
      </c>
      <c r="FH111" s="31">
        <v>16.032909428397769</v>
      </c>
      <c r="FI111" s="31">
        <v>4463.5250468267996</v>
      </c>
      <c r="FM111" s="31">
        <v>0</v>
      </c>
      <c r="FP111" s="31">
        <v>0</v>
      </c>
    </row>
    <row r="112" spans="49:172" ht="20.25" customHeight="1">
      <c r="AW112" s="31">
        <v>-0.84802334490506848</v>
      </c>
      <c r="AX112" s="31">
        <v>6.9260404505392597</v>
      </c>
      <c r="AZ112" s="31">
        <v>1.8629907083072919</v>
      </c>
      <c r="BA112" s="31">
        <v>5.5671453772237038</v>
      </c>
      <c r="BQ112" s="31" t="s">
        <v>134</v>
      </c>
      <c r="BR112" s="31" t="e">
        <f>_xlfn.LET(
    _xlpm._p, BR28,
    _xlpm._q, BR29,
    _xlpm._K, 2 * SQRT(-1 * _xlpm._p / 3),
    _xlpm._theta, 1 / 3 * ACOS((3 * _xlpm._q) / (2 * _xlpm._p) * SQRT(-1 * 3 / _xlpm._p)),
    _xlpm._K * COS(_xlpm._theta + 2 * PI() / 3)
)</f>
        <v>#NUM!</v>
      </c>
      <c r="DC112" s="31">
        <v>-0.16066976966009461</v>
      </c>
      <c r="DD112" s="31">
        <v>0.58453010839999997</v>
      </c>
      <c r="FE112" s="31">
        <v>150.90224737289063</v>
      </c>
      <c r="FF112" s="31">
        <v>4509.3877555511999</v>
      </c>
      <c r="FH112" s="31">
        <v>15.387746822094256</v>
      </c>
      <c r="FI112" s="31">
        <v>4509.3877555512008</v>
      </c>
      <c r="FM112" s="31">
        <v>0</v>
      </c>
      <c r="FP112" s="31">
        <v>0</v>
      </c>
    </row>
    <row r="113" spans="49:172" ht="20.25" customHeight="1">
      <c r="AW113" s="31">
        <v>-1.087108643960204</v>
      </c>
      <c r="AX113" s="31">
        <v>7.0109713926214816</v>
      </c>
      <c r="AZ113" s="31">
        <v>1.7827587291036346</v>
      </c>
      <c r="BA113" s="31">
        <v>5.6237660052785188</v>
      </c>
      <c r="BQ113" s="31" t="s">
        <v>133</v>
      </c>
      <c r="BR113" s="31" t="e">
        <f>_xlfn.LET(
    _xlpm._p, BR28,
    _xlpm._q, BR29,
    _xlpm._K, 2 * SQRT(-1 * _xlpm._p / 3),
    _xlpm._theta, 1 / 3 * ACOS((3 * _xlpm._q) / (2 * _xlpm._p) * SQRT(-1 * 3 / _xlpm._p)),
    _xlpm._K * COS(_xlpm._theta + 4 * PI() / 3)
)</f>
        <v>#NUM!</v>
      </c>
      <c r="DC113" s="31">
        <v>-0.16338529288202852</v>
      </c>
      <c r="DD113" s="31">
        <v>0.59019217120548151</v>
      </c>
      <c r="FE113" s="31">
        <v>144.40345705739441</v>
      </c>
      <c r="FF113" s="31">
        <v>4555.2504642756003</v>
      </c>
      <c r="FH113" s="31">
        <v>14.725054637148713</v>
      </c>
      <c r="FI113" s="31">
        <v>4555.2504642756003</v>
      </c>
      <c r="FM113" s="31">
        <v>0</v>
      </c>
      <c r="FP113" s="31">
        <v>0</v>
      </c>
    </row>
    <row r="114" spans="49:172" ht="20.25" customHeight="1">
      <c r="AW114" s="31">
        <v>-1.3365722436070886</v>
      </c>
      <c r="AX114" s="31">
        <v>7.0959023347037036</v>
      </c>
      <c r="AZ114" s="31">
        <v>1.7003264495222723</v>
      </c>
      <c r="BA114" s="31">
        <v>5.6803866333333337</v>
      </c>
      <c r="DC114" s="31">
        <v>-0.16608954427108247</v>
      </c>
      <c r="DD114" s="31">
        <v>0.59585423401096294</v>
      </c>
      <c r="FE114" s="31">
        <v>137.72644241130405</v>
      </c>
      <c r="FF114" s="31">
        <v>4601.1131730000006</v>
      </c>
      <c r="FH114" s="31">
        <v>14.044188628257769</v>
      </c>
      <c r="FI114" s="31">
        <v>4601.1131730000006</v>
      </c>
      <c r="FM114" s="31">
        <v>0</v>
      </c>
      <c r="FP114" s="31">
        <v>0</v>
      </c>
    </row>
    <row r="115" spans="49:172" ht="20.25" customHeight="1">
      <c r="BO115" s="31" t="s">
        <v>132</v>
      </c>
      <c r="DC115" s="31">
        <v>-0.16878255216151822</v>
      </c>
      <c r="DD115" s="31">
        <v>0.60151629681644447</v>
      </c>
    </row>
    <row r="116" spans="49:172" ht="20.25" customHeight="1">
      <c r="DC116" s="31">
        <v>-0.1714643448875971</v>
      </c>
      <c r="DD116" s="31">
        <v>0.6071783596219259</v>
      </c>
    </row>
    <row r="117" spans="49:172" ht="20.25" customHeight="1">
      <c r="BQ117" s="31" t="s">
        <v>131</v>
      </c>
      <c r="BR117" s="31">
        <f>_xlfn.LET(
    _xlpm._D, BR89,
    _xlpm._X_Cardano, BR81,
    _xlpm._X_Viete, BR111,
    IF(_xlpm._D &gt; 0, _xlpm._X_Viete, _xlpm._X_Cardano)
)</f>
        <v>-2.5579997655219726</v>
      </c>
      <c r="DC117" s="31">
        <v>-0.17413495078358066</v>
      </c>
      <c r="DD117" s="31">
        <v>0.61284042242740744</v>
      </c>
    </row>
    <row r="118" spans="49:172" ht="20.25" customHeight="1">
      <c r="BQ118" s="31" t="s">
        <v>130</v>
      </c>
      <c r="BR118" s="31" t="str">
        <f>_xlfn.LET(_xlpm._D, BR89, _xlpm._X_Cardano, BR82, _xlpm._X_Viete, BR112, IF(_xlpm._D &gt; 0, _xlpm._X_Viete, _xlpm._X_Cardano))</f>
        <v>1.27899988276099-2.84314018231587i</v>
      </c>
      <c r="DC118" s="31">
        <v>-0.17679439818373044</v>
      </c>
      <c r="DD118" s="31">
        <v>0.61850248523288887</v>
      </c>
    </row>
    <row r="119" spans="49:172" ht="20.25" customHeight="1">
      <c r="BQ119" s="31" t="s">
        <v>129</v>
      </c>
      <c r="BR119" s="31" t="str">
        <f>_xlfn.LET(_xlpm._D, BR89, _xlpm._X_Cardano, BR83, _xlpm._X_Viete, BR113, IF(_xlpm._D &gt; 0, _xlpm._X_Viete, _xlpm._X_Cardano))</f>
        <v>1.27899988276099+2.84314018231587i</v>
      </c>
      <c r="DC119" s="31">
        <v>-0.17944271542230794</v>
      </c>
      <c r="DD119" s="31">
        <v>0.6241645480383704</v>
      </c>
    </row>
    <row r="120" spans="49:172" ht="20.25" customHeight="1">
      <c r="DC120" s="31">
        <v>-0.18207993083357465</v>
      </c>
      <c r="DD120" s="31">
        <v>0.62982661084385183</v>
      </c>
    </row>
    <row r="121" spans="49:172" ht="20.25" customHeight="1">
      <c r="BO121" s="31" t="s">
        <v>128</v>
      </c>
      <c r="DC121" s="31">
        <v>-0.18470607275179213</v>
      </c>
      <c r="DD121" s="31">
        <v>0.63548867364933337</v>
      </c>
    </row>
    <row r="122" spans="49:172" ht="20.25" customHeight="1">
      <c r="DC122" s="31">
        <v>-0.1873211695112218</v>
      </c>
      <c r="DD122" s="31">
        <v>0.6411507364548148</v>
      </c>
    </row>
    <row r="123" spans="49:172" ht="20.25" customHeight="1">
      <c r="DC123" s="31">
        <v>-0.18992524944612527</v>
      </c>
      <c r="DD123" s="31">
        <v>0.64681279926029633</v>
      </c>
    </row>
    <row r="124" spans="49:172" ht="20.25" customHeight="1">
      <c r="DC124" s="31">
        <v>-0.19251834089076397</v>
      </c>
      <c r="DD124" s="31">
        <v>0.65247486206577776</v>
      </c>
    </row>
    <row r="125" spans="49:172" ht="20.25" customHeight="1">
      <c r="DC125" s="31">
        <v>-0.19510047217939952</v>
      </c>
      <c r="DD125" s="31">
        <v>0.6581369248712593</v>
      </c>
    </row>
    <row r="126" spans="49:172" ht="20.25" customHeight="1">
      <c r="DC126" s="31">
        <v>-0.19767167164629329</v>
      </c>
      <c r="DD126" s="31">
        <v>0.66379898767674073</v>
      </c>
    </row>
    <row r="127" spans="49:172" ht="20.25" customHeight="1">
      <c r="DC127" s="31">
        <v>-0.20023196762570694</v>
      </c>
      <c r="DD127" s="31">
        <v>0.66946105048222226</v>
      </c>
    </row>
    <row r="128" spans="49:172" ht="20.25" customHeight="1">
      <c r="DC128" s="31">
        <v>-0.2027813884519018</v>
      </c>
      <c r="DD128" s="31">
        <v>0.67512311328770369</v>
      </c>
    </row>
    <row r="129" spans="67:108" ht="20.25" customHeight="1">
      <c r="BQ129" s="31" t="s">
        <v>127</v>
      </c>
      <c r="BR129" s="31">
        <f>_xlfn.LET(
    _xlpm._X, BR117,
    _xlpm._A, BR14,
    _xlpm._X - _xlpm._A / 3
)</f>
        <v>0.28465364146978933</v>
      </c>
      <c r="DC129" s="31">
        <v>-0.20531996245913958</v>
      </c>
      <c r="DD129" s="31">
        <v>0.68078517609318523</v>
      </c>
    </row>
    <row r="130" spans="67:108" ht="20.25" customHeight="1">
      <c r="BQ130" s="31" t="s">
        <v>126</v>
      </c>
      <c r="BR130" s="31" t="e">
        <f>_xlfn.LET(
    _xlpm._X, BR118,
    _xlpm._A, BR14,
    _xlpm._X - _xlpm._A / 3
)</f>
        <v>#VALUE!</v>
      </c>
      <c r="DC130" s="31">
        <v>-0.20784771798168167</v>
      </c>
      <c r="DD130" s="31">
        <v>0.68644723889866666</v>
      </c>
    </row>
    <row r="131" spans="67:108" ht="20.25" customHeight="1">
      <c r="BQ131" s="31" t="s">
        <v>125</v>
      </c>
      <c r="BR131" s="31" t="e">
        <f>_xlfn.LET(
    _xlpm._X, BR119,
    _xlpm._A, BR14,
    _xlpm._X - _xlpm._A / 3
)</f>
        <v>#VALUE!</v>
      </c>
      <c r="DC131" s="31">
        <v>-0.21036468335378961</v>
      </c>
      <c r="DD131" s="31">
        <v>0.69210930170414819</v>
      </c>
    </row>
    <row r="132" spans="67:108" ht="20.25" customHeight="1">
      <c r="DC132" s="31">
        <v>-0.21287088690972489</v>
      </c>
      <c r="DD132" s="31">
        <v>0.69777136450962962</v>
      </c>
    </row>
    <row r="133" spans="67:108" ht="20.25" customHeight="1">
      <c r="BO133" s="31" t="s">
        <v>124</v>
      </c>
      <c r="DC133" s="31">
        <v>-0.21536635698374901</v>
      </c>
      <c r="DD133" s="31">
        <v>0.70343342731511116</v>
      </c>
    </row>
    <row r="134" spans="67:108" ht="20.25" customHeight="1">
      <c r="BP134" s="31" t="s">
        <v>123</v>
      </c>
      <c r="DC134" s="31">
        <v>-0.21785112191012357</v>
      </c>
      <c r="DD134" s="31">
        <v>0.70909549012059259</v>
      </c>
    </row>
    <row r="135" spans="67:108" ht="20.25" customHeight="1">
      <c r="BQ135" s="31" t="s">
        <v>121</v>
      </c>
      <c r="BR135" s="31" cm="1">
        <f t="array" ref="BR135">_xlfn.LET(
    _xlpm._coefficients, TRANSPOSE(BG12:BG15),
    _xlpm._values, BR129 ^ {3,2,1,0},
    SUM(_xlpm._coefficients * _xlpm._values)
)</f>
        <v>-5.8286708792820718E-16</v>
      </c>
      <c r="DC135" s="31">
        <v>-0.22032521002311006</v>
      </c>
      <c r="DD135" s="31">
        <v>0.71475755292607412</v>
      </c>
    </row>
    <row r="136" spans="67:108" ht="20.25" customHeight="1">
      <c r="BQ136" s="31" t="s">
        <v>120</v>
      </c>
      <c r="BR136" s="31" t="e" cm="1">
        <f t="array" ref="BR136">_xlfn.LET(
    _xlpm._coefficients, TRANSPOSE(BG12:BG15),
    _xlpm._values, BR130 ^ {3,2,1,0},
    SUM(_xlpm._coefficients * _xlpm._values)
)</f>
        <v>#VALUE!</v>
      </c>
      <c r="DC136" s="31">
        <v>-0.22278864965696982</v>
      </c>
      <c r="DD136" s="31">
        <v>0.72041961573155555</v>
      </c>
    </row>
    <row r="137" spans="67:108" ht="20.25" customHeight="1">
      <c r="BQ137" s="31" t="s">
        <v>119</v>
      </c>
      <c r="BR137" s="31" t="e" cm="1">
        <f t="array" ref="BR137">_xlfn.LET(
    _xlpm._coefficients, TRANSPOSE(BG12:BG15),
    _xlpm._values, BR131 ^ {3,2,1,0},
    SUM(_xlpm._coefficients * _xlpm._values)
)</f>
        <v>#VALUE!</v>
      </c>
      <c r="DC137" s="31">
        <v>-0.22524146914596466</v>
      </c>
      <c r="DD137" s="31">
        <v>0.72608167853703709</v>
      </c>
    </row>
    <row r="138" spans="67:108" ht="20.25" customHeight="1">
      <c r="BP138" s="31" t="s">
        <v>122</v>
      </c>
      <c r="DC138" s="31">
        <v>-0.22768369682435574</v>
      </c>
      <c r="DD138" s="31">
        <v>0.73174374134251852</v>
      </c>
    </row>
    <row r="139" spans="67:108" ht="20.25" customHeight="1">
      <c r="BQ139" s="31" t="s">
        <v>121</v>
      </c>
      <c r="BR139" s="31">
        <f>ROUND(BR135,8)</f>
        <v>0</v>
      </c>
      <c r="DC139" s="31">
        <v>-0.23011536102640495</v>
      </c>
      <c r="DD139" s="31">
        <v>0.73740580414800005</v>
      </c>
    </row>
    <row r="140" spans="67:108" ht="20.25" customHeight="1">
      <c r="BQ140" s="31" t="s">
        <v>120</v>
      </c>
      <c r="BR140" s="31" t="e">
        <f>ROUND(BR136,8)</f>
        <v>#VALUE!</v>
      </c>
      <c r="DC140" s="31">
        <v>-0.2325364900863735</v>
      </c>
      <c r="DD140" s="31">
        <v>0.74306786695348148</v>
      </c>
    </row>
    <row r="141" spans="67:108" ht="20.25" customHeight="1">
      <c r="BQ141" s="31" t="s">
        <v>119</v>
      </c>
      <c r="BR141" s="31" t="e">
        <f>ROUND(BR137,8)</f>
        <v>#VALUE!</v>
      </c>
      <c r="DC141" s="31">
        <v>-0.23494711233852295</v>
      </c>
      <c r="DD141" s="31">
        <v>0.74872992975896291</v>
      </c>
    </row>
    <row r="142" spans="67:108" ht="20.25" customHeight="1">
      <c r="DC142" s="31">
        <v>-0.23734725611711505</v>
      </c>
      <c r="DD142" s="31">
        <v>0.75439199256444445</v>
      </c>
    </row>
    <row r="143" spans="67:108" ht="20.25" customHeight="1">
      <c r="DC143" s="31">
        <v>-0.23973694975641091</v>
      </c>
      <c r="DD143" s="31">
        <v>0.76005405536992587</v>
      </c>
    </row>
    <row r="144" spans="67:108" ht="20.25" customHeight="1">
      <c r="DC144" s="31">
        <v>-0.24211622159067248</v>
      </c>
      <c r="DD144" s="31">
        <v>0.76571611817540741</v>
      </c>
    </row>
    <row r="145" spans="107:108" ht="20.25" customHeight="1">
      <c r="DC145" s="31">
        <v>-0.24448509995416096</v>
      </c>
      <c r="DD145" s="31">
        <v>0.77137818098088884</v>
      </c>
    </row>
    <row r="146" spans="107:108" ht="20.25" customHeight="1">
      <c r="DC146" s="31">
        <v>-0.2468436131811379</v>
      </c>
      <c r="DD146" s="31">
        <v>0.77704024378637038</v>
      </c>
    </row>
    <row r="147" spans="107:108" ht="20.25" customHeight="1">
      <c r="DC147" s="31">
        <v>-0.24919178960586497</v>
      </c>
      <c r="DD147" s="31">
        <v>0.7827023065918518</v>
      </c>
    </row>
    <row r="148" spans="107:108" ht="20.25" customHeight="1">
      <c r="DC148" s="31">
        <v>-0.25152965756260348</v>
      </c>
      <c r="DD148" s="31">
        <v>0.78836436939733334</v>
      </c>
    </row>
    <row r="149" spans="107:108" ht="20.25" customHeight="1">
      <c r="DC149" s="31">
        <v>-0.2538572453856151</v>
      </c>
      <c r="DD149" s="31">
        <v>0.79402643220281477</v>
      </c>
    </row>
    <row r="150" spans="107:108" ht="20.25" customHeight="1">
      <c r="DC150" s="31">
        <v>-0.25617458140916127</v>
      </c>
      <c r="DD150" s="31">
        <v>0.79968849500829631</v>
      </c>
    </row>
    <row r="151" spans="107:108" ht="20.25" customHeight="1">
      <c r="DC151" s="31">
        <v>-0.25848169396750348</v>
      </c>
      <c r="DD151" s="31">
        <v>0.80535055781377773</v>
      </c>
    </row>
    <row r="152" spans="107:108" ht="20.25" customHeight="1">
      <c r="DC152" s="31">
        <v>-0.26077861139490344</v>
      </c>
      <c r="DD152" s="31">
        <v>0.81101262061925927</v>
      </c>
    </row>
    <row r="153" spans="107:108" ht="20.25" customHeight="1">
      <c r="DC153" s="31">
        <v>-0.2630653620256222</v>
      </c>
      <c r="DD153" s="31">
        <v>0.8166746834247407</v>
      </c>
    </row>
    <row r="154" spans="107:108" ht="20.25" customHeight="1">
      <c r="DC154" s="31">
        <v>-0.2653419741939218</v>
      </c>
      <c r="DD154" s="31">
        <v>0.82233674623022224</v>
      </c>
    </row>
    <row r="155" spans="107:108" ht="20.25" customHeight="1">
      <c r="DC155" s="31">
        <v>-0.26760847623406336</v>
      </c>
      <c r="DD155" s="31">
        <v>0.82799880903570366</v>
      </c>
    </row>
    <row r="156" spans="107:108" ht="20.25" customHeight="1">
      <c r="DC156" s="31">
        <v>-0.2698648964803087</v>
      </c>
      <c r="DD156" s="31">
        <v>0.8336608718411852</v>
      </c>
    </row>
    <row r="157" spans="107:108" ht="20.25" customHeight="1">
      <c r="DC157" s="31">
        <v>-0.27211126326691909</v>
      </c>
      <c r="DD157" s="31">
        <v>0.83932293464666663</v>
      </c>
    </row>
    <row r="158" spans="107:108" ht="20.25" customHeight="1">
      <c r="DC158" s="31">
        <v>-0.27434760492815613</v>
      </c>
      <c r="DD158" s="31">
        <v>0.84498499745214817</v>
      </c>
    </row>
    <row r="159" spans="107:108" ht="20.25" customHeight="1">
      <c r="DC159" s="31">
        <v>-0.27657394979828137</v>
      </c>
      <c r="DD159" s="31">
        <v>0.85064706025762959</v>
      </c>
    </row>
    <row r="160" spans="107:108" ht="20.25" customHeight="1">
      <c r="DC160" s="31">
        <v>-0.27879032621155619</v>
      </c>
      <c r="DD160" s="31">
        <v>0.85630912306311113</v>
      </c>
    </row>
    <row r="161" spans="107:108" ht="20.25" customHeight="1">
      <c r="DC161" s="31">
        <v>-0.28099676250224237</v>
      </c>
      <c r="DD161" s="31">
        <v>0.86197118586859256</v>
      </c>
    </row>
    <row r="162" spans="107:108" ht="20.25" customHeight="1">
      <c r="DC162" s="31">
        <v>-0.28319328700460106</v>
      </c>
      <c r="DD162" s="31">
        <v>0.8676332486740741</v>
      </c>
    </row>
    <row r="163" spans="107:108" ht="20.25" customHeight="1">
      <c r="DC163" s="31">
        <v>-0.28537992805289403</v>
      </c>
      <c r="DD163" s="31">
        <v>0.87329531147955552</v>
      </c>
    </row>
    <row r="164" spans="107:108" ht="20.25" customHeight="1">
      <c r="DC164" s="31">
        <v>-0.28755671398138272</v>
      </c>
      <c r="DD164" s="31">
        <v>0.87895737428503706</v>
      </c>
    </row>
    <row r="165" spans="107:108" ht="20.25" customHeight="1">
      <c r="DC165" s="31">
        <v>-0.28972367312432862</v>
      </c>
      <c r="DD165" s="31">
        <v>0.88461943709051849</v>
      </c>
    </row>
    <row r="166" spans="107:108" ht="20.25" customHeight="1">
      <c r="DC166" s="31">
        <v>-0.29188083381599339</v>
      </c>
      <c r="DD166" s="31">
        <v>0.89028149989600003</v>
      </c>
    </row>
    <row r="167" spans="107:108" ht="20.25" customHeight="1">
      <c r="DC167" s="31">
        <v>-0.29402822439063819</v>
      </c>
      <c r="DD167" s="31">
        <v>0.89594356270148146</v>
      </c>
    </row>
    <row r="168" spans="107:108" ht="20.25" customHeight="1">
      <c r="DC168" s="31">
        <v>-0.29616587318252491</v>
      </c>
      <c r="DD168" s="31">
        <v>0.90160562550696299</v>
      </c>
    </row>
    <row r="169" spans="107:108" ht="20.25" customHeight="1">
      <c r="DC169" s="31">
        <v>-0.29829380852591481</v>
      </c>
      <c r="DD169" s="31">
        <v>0.90726768831244442</v>
      </c>
    </row>
    <row r="170" spans="107:108" ht="20.25" customHeight="1">
      <c r="DC170" s="31">
        <v>-0.3004120587550696</v>
      </c>
      <c r="DD170" s="31">
        <v>0.91292975111792596</v>
      </c>
    </row>
    <row r="171" spans="107:108" ht="20.25" customHeight="1">
      <c r="DC171" s="31">
        <v>-0.30252065220425062</v>
      </c>
      <c r="DD171" s="31">
        <v>0.91859181392340739</v>
      </c>
    </row>
    <row r="172" spans="107:108" ht="20.25" customHeight="1">
      <c r="DC172" s="31">
        <v>-0.30461961720771946</v>
      </c>
      <c r="DD172" s="31">
        <v>0.92425387672888892</v>
      </c>
    </row>
    <row r="173" spans="107:108" ht="20.25" customHeight="1">
      <c r="DC173" s="31">
        <v>-0.30670898209973763</v>
      </c>
      <c r="DD173" s="31">
        <v>0.92991593953437035</v>
      </c>
    </row>
    <row r="174" spans="107:108" ht="20.25" customHeight="1">
      <c r="DC174" s="31">
        <v>-0.30878877521456649</v>
      </c>
      <c r="DD174" s="31">
        <v>0.93557800233985189</v>
      </c>
    </row>
    <row r="175" spans="107:108" ht="20.25" customHeight="1">
      <c r="DC175" s="31">
        <v>-0.31085902488646783</v>
      </c>
      <c r="DD175" s="31">
        <v>0.94124006514533332</v>
      </c>
    </row>
    <row r="176" spans="107:108" ht="20.25" customHeight="1">
      <c r="DC176" s="31">
        <v>-0.31291975944970296</v>
      </c>
      <c r="DD176" s="31">
        <v>0.94690212795081485</v>
      </c>
    </row>
    <row r="177" spans="107:108" ht="20.25" customHeight="1">
      <c r="DC177" s="31">
        <v>-0.31497100723853355</v>
      </c>
      <c r="DD177" s="31">
        <v>0.95256419075629628</v>
      </c>
    </row>
    <row r="178" spans="107:108" ht="20.25" customHeight="1">
      <c r="DC178" s="31">
        <v>-0.31701279658722104</v>
      </c>
      <c r="DD178" s="31">
        <v>0.95822625356177782</v>
      </c>
    </row>
    <row r="179" spans="107:108" ht="20.25" customHeight="1">
      <c r="DC179" s="31">
        <v>-0.31904515583002668</v>
      </c>
      <c r="DD179" s="31">
        <v>0.96388831636725925</v>
      </c>
    </row>
    <row r="180" spans="107:108" ht="20.25" customHeight="1">
      <c r="DC180" s="31">
        <v>-0.32106811330121243</v>
      </c>
      <c r="DD180" s="31">
        <v>0.96955037917274078</v>
      </c>
    </row>
    <row r="181" spans="107:108" ht="20.25" customHeight="1">
      <c r="DC181" s="31">
        <v>-0.32308169733503944</v>
      </c>
      <c r="DD181" s="31">
        <v>0.97521244197822221</v>
      </c>
    </row>
    <row r="182" spans="107:108" ht="20.25" customHeight="1">
      <c r="DC182" s="31">
        <v>-0.32508593626576954</v>
      </c>
      <c r="DD182" s="31">
        <v>0.98087450478370375</v>
      </c>
    </row>
    <row r="183" spans="107:108" ht="20.25" customHeight="1">
      <c r="DC183" s="31">
        <v>-0.32708085842766399</v>
      </c>
      <c r="DD183" s="31">
        <v>0.98653656758918518</v>
      </c>
    </row>
    <row r="184" spans="107:108" ht="20.25" customHeight="1">
      <c r="DC184" s="31">
        <v>-0.32906649215498429</v>
      </c>
      <c r="DD184" s="31">
        <v>0.99219863039466671</v>
      </c>
    </row>
    <row r="185" spans="107:108" ht="20.25" customHeight="1">
      <c r="DC185" s="31">
        <v>-0.33104286578199216</v>
      </c>
      <c r="DD185" s="31">
        <v>0.99786069320014814</v>
      </c>
    </row>
    <row r="186" spans="107:108" ht="20.25" customHeight="1">
      <c r="DC186" s="31">
        <v>-0.33301000764294886</v>
      </c>
      <c r="DD186" s="31">
        <v>1.0035227560056297</v>
      </c>
    </row>
    <row r="187" spans="107:108" ht="20.25" customHeight="1">
      <c r="DC187" s="31">
        <v>-0.33496794607211633</v>
      </c>
      <c r="DD187" s="31">
        <v>1.0091848188111112</v>
      </c>
    </row>
    <row r="188" spans="107:108" ht="20.25" customHeight="1">
      <c r="DC188" s="31">
        <v>-0.33691670940375551</v>
      </c>
      <c r="DD188" s="31">
        <v>1.0148468816165928</v>
      </c>
    </row>
    <row r="189" spans="107:108" ht="20.25" customHeight="1">
      <c r="DC189" s="31">
        <v>-0.33885632597212823</v>
      </c>
      <c r="DD189" s="31">
        <v>1.0205089444220741</v>
      </c>
    </row>
    <row r="190" spans="107:108" ht="20.25" customHeight="1">
      <c r="DC190" s="31">
        <v>-0.34078682411149586</v>
      </c>
      <c r="DD190" s="31">
        <v>1.0261710072275556</v>
      </c>
    </row>
    <row r="191" spans="107:108" ht="20.25" customHeight="1">
      <c r="DC191" s="31">
        <v>-0.34270823215612023</v>
      </c>
      <c r="DD191" s="31">
        <v>1.0318330700330371</v>
      </c>
    </row>
    <row r="192" spans="107:108" ht="20.25" customHeight="1">
      <c r="DC192" s="31">
        <v>-0.3446205784402625</v>
      </c>
      <c r="DD192" s="31">
        <v>1.0374951328385185</v>
      </c>
    </row>
    <row r="193" spans="107:108" ht="20.25" customHeight="1">
      <c r="DC193" s="31">
        <v>-0.34652389129818428</v>
      </c>
      <c r="DD193" s="31">
        <v>1.043157195644</v>
      </c>
    </row>
    <row r="194" spans="107:108" ht="20.25" customHeight="1">
      <c r="DC194" s="31">
        <v>-0.34841819906414739</v>
      </c>
      <c r="DD194" s="31">
        <v>1.0488192584494815</v>
      </c>
    </row>
    <row r="195" spans="107:108" ht="20.25" customHeight="1">
      <c r="DC195" s="31">
        <v>-0.35030353007241277</v>
      </c>
      <c r="DD195" s="31">
        <v>1.0544813212549631</v>
      </c>
    </row>
    <row r="196" spans="107:108" ht="20.25" customHeight="1">
      <c r="DC196" s="31">
        <v>-0.35217991265724224</v>
      </c>
      <c r="DD196" s="31">
        <v>1.0601433840604444</v>
      </c>
    </row>
    <row r="197" spans="107:108" ht="20.25" customHeight="1">
      <c r="DC197" s="31">
        <v>-0.35404737515289741</v>
      </c>
      <c r="DD197" s="31">
        <v>1.0658054468659259</v>
      </c>
    </row>
    <row r="198" spans="107:108" ht="20.25" customHeight="1">
      <c r="DC198" s="31">
        <v>-0.35590594589363966</v>
      </c>
      <c r="DD198" s="31">
        <v>1.0714675096714075</v>
      </c>
    </row>
    <row r="199" spans="107:108" ht="20.25" customHeight="1">
      <c r="DC199" s="31">
        <v>-0.35775565321373037</v>
      </c>
      <c r="DD199" s="31">
        <v>1.077129572476889</v>
      </c>
    </row>
    <row r="200" spans="107:108" ht="20.25" customHeight="1">
      <c r="DC200" s="31">
        <v>-0.35959652544743137</v>
      </c>
      <c r="DD200" s="31">
        <v>1.0827916352823703</v>
      </c>
    </row>
    <row r="201" spans="107:108" ht="20.25" customHeight="1">
      <c r="DC201" s="31">
        <v>-0.36142859092900392</v>
      </c>
      <c r="DD201" s="31">
        <v>1.0884536980878519</v>
      </c>
    </row>
    <row r="202" spans="107:108" ht="20.25" customHeight="1">
      <c r="DC202" s="31">
        <v>-0.36325187799270964</v>
      </c>
      <c r="DD202" s="31">
        <v>1.0941157608933334</v>
      </c>
    </row>
    <row r="203" spans="107:108" ht="20.25" customHeight="1">
      <c r="DC203" s="31">
        <v>-0.36506641497281012</v>
      </c>
      <c r="DD203" s="31">
        <v>1.0997778236988149</v>
      </c>
    </row>
    <row r="204" spans="107:108" ht="20.25" customHeight="1">
      <c r="DC204" s="31">
        <v>-0.36687223020356663</v>
      </c>
      <c r="DD204" s="31">
        <v>1.1054398865042963</v>
      </c>
    </row>
    <row r="205" spans="107:108" ht="20.25" customHeight="1">
      <c r="DC205" s="31">
        <v>-0.36866935201924067</v>
      </c>
      <c r="DD205" s="31">
        <v>1.1111019493097778</v>
      </c>
    </row>
    <row r="206" spans="107:108" ht="20.25" customHeight="1">
      <c r="DC206" s="31">
        <v>-0.37045780875409418</v>
      </c>
      <c r="DD206" s="31">
        <v>1.1167640121152593</v>
      </c>
    </row>
    <row r="207" spans="107:108" ht="20.25" customHeight="1">
      <c r="DC207" s="31">
        <v>-0.37223762874238819</v>
      </c>
      <c r="DD207" s="31">
        <v>1.1224260749207406</v>
      </c>
    </row>
    <row r="208" spans="107:108" ht="20.25" customHeight="1">
      <c r="DC208" s="31">
        <v>-0.37400884031838444</v>
      </c>
      <c r="DD208" s="31">
        <v>1.1280881377262222</v>
      </c>
    </row>
    <row r="209" spans="107:108" ht="20.25" customHeight="1">
      <c r="DC209" s="31">
        <v>-0.37577147181634463</v>
      </c>
      <c r="DD209" s="31">
        <v>1.1337502005317037</v>
      </c>
    </row>
    <row r="210" spans="107:108" ht="20.25" customHeight="1">
      <c r="DC210" s="31">
        <v>-0.3775255515705298</v>
      </c>
      <c r="DD210" s="31">
        <v>1.1394122633371853</v>
      </c>
    </row>
    <row r="211" spans="107:108" ht="20.25" customHeight="1">
      <c r="DC211" s="31">
        <v>-0.37927110791520169</v>
      </c>
      <c r="DD211" s="31">
        <v>1.1450743261426666</v>
      </c>
    </row>
    <row r="212" spans="107:108" ht="20.25" customHeight="1">
      <c r="DC212" s="31">
        <v>-0.38100816918462199</v>
      </c>
      <c r="DD212" s="31">
        <v>1.1507363889481481</v>
      </c>
    </row>
    <row r="213" spans="107:108" ht="20.25" customHeight="1">
      <c r="DC213" s="31">
        <v>-0.3827367637130521</v>
      </c>
      <c r="DD213" s="31">
        <v>1.1563984517536297</v>
      </c>
    </row>
    <row r="214" spans="107:108" ht="20.25" customHeight="1">
      <c r="DC214" s="31">
        <v>-0.38445691983475339</v>
      </c>
      <c r="DD214" s="31">
        <v>1.1620605145591112</v>
      </c>
    </row>
    <row r="215" spans="107:108" ht="20.25" customHeight="1">
      <c r="DC215" s="31">
        <v>-0.38616866588398746</v>
      </c>
      <c r="DD215" s="31">
        <v>1.1677225773645925</v>
      </c>
    </row>
    <row r="216" spans="107:108" ht="20.25" customHeight="1">
      <c r="DC216" s="31">
        <v>-0.38787203019501582</v>
      </c>
      <c r="DD216" s="31">
        <v>1.173384640170074</v>
      </c>
    </row>
    <row r="217" spans="107:108" ht="20.25" customHeight="1">
      <c r="DC217" s="31">
        <v>-0.38956704110210005</v>
      </c>
      <c r="DD217" s="31">
        <v>1.1790467029755556</v>
      </c>
    </row>
    <row r="218" spans="107:108" ht="20.25" customHeight="1">
      <c r="DC218" s="31">
        <v>-0.39125372693950156</v>
      </c>
      <c r="DD218" s="31">
        <v>1.1847087657810371</v>
      </c>
    </row>
    <row r="219" spans="107:108" ht="20.25" customHeight="1">
      <c r="DC219" s="31">
        <v>-0.39293211604148182</v>
      </c>
      <c r="DD219" s="31">
        <v>1.1903708285865184</v>
      </c>
    </row>
    <row r="220" spans="107:108" ht="20.25" customHeight="1">
      <c r="DC220" s="31">
        <v>-0.39460223674230244</v>
      </c>
      <c r="DD220" s="31">
        <v>1.196032891392</v>
      </c>
    </row>
    <row r="221" spans="107:108" ht="20.25" customHeight="1">
      <c r="DC221" s="31">
        <v>-0.39626411737622502</v>
      </c>
      <c r="DD221" s="31">
        <v>1.2016949541974815</v>
      </c>
    </row>
    <row r="222" spans="107:108" ht="20.25" customHeight="1">
      <c r="DC222" s="31">
        <v>-0.39791778627751095</v>
      </c>
      <c r="DD222" s="31">
        <v>1.2073570170029631</v>
      </c>
    </row>
    <row r="223" spans="107:108" ht="20.25" customHeight="1">
      <c r="DC223" s="31">
        <v>-0.39956327178042161</v>
      </c>
      <c r="DD223" s="31">
        <v>1.2130190798084444</v>
      </c>
    </row>
    <row r="224" spans="107:108" ht="20.25" customHeight="1">
      <c r="DC224" s="31">
        <v>-0.40120060221921883</v>
      </c>
      <c r="DD224" s="31">
        <v>1.2186811426139259</v>
      </c>
    </row>
    <row r="225" spans="107:108" ht="20.25" customHeight="1">
      <c r="DC225" s="31">
        <v>-0.40282980592816398</v>
      </c>
      <c r="DD225" s="31">
        <v>1.2243432054194074</v>
      </c>
    </row>
    <row r="226" spans="107:108" ht="20.25" customHeight="1">
      <c r="DC226" s="31">
        <v>-0.40445091124151833</v>
      </c>
      <c r="DD226" s="31">
        <v>1.230005268224889</v>
      </c>
    </row>
    <row r="227" spans="107:108" ht="20.25" customHeight="1">
      <c r="DC227" s="31">
        <v>-0.40606394649354371</v>
      </c>
      <c r="DD227" s="31">
        <v>1.2356673310303703</v>
      </c>
    </row>
    <row r="228" spans="107:108" ht="20.25" customHeight="1">
      <c r="DC228" s="31">
        <v>-0.40766894001850162</v>
      </c>
      <c r="DD228" s="31">
        <v>1.2413293938358518</v>
      </c>
    </row>
    <row r="229" spans="107:108" ht="20.25" customHeight="1">
      <c r="DC229" s="31">
        <v>-0.40926592015065333</v>
      </c>
      <c r="DD229" s="31">
        <v>1.2469914566413334</v>
      </c>
    </row>
    <row r="230" spans="107:108" ht="20.25" customHeight="1">
      <c r="DC230" s="31">
        <v>-0.41085491522426065</v>
      </c>
      <c r="DD230" s="31">
        <v>1.2526535194468149</v>
      </c>
    </row>
    <row r="231" spans="107:108" ht="20.25" customHeight="1">
      <c r="DC231" s="31">
        <v>-0.41243595357358476</v>
      </c>
      <c r="DD231" s="31">
        <v>1.2583155822522962</v>
      </c>
    </row>
    <row r="232" spans="107:108" ht="20.25" customHeight="1">
      <c r="DC232" s="31">
        <v>-0.41400906353288736</v>
      </c>
      <c r="DD232" s="31">
        <v>1.2639776450577778</v>
      </c>
    </row>
    <row r="233" spans="107:108" ht="20.25" customHeight="1">
      <c r="DC233" s="31">
        <v>-0.41557427343642994</v>
      </c>
      <c r="DD233" s="31">
        <v>1.2696397078632593</v>
      </c>
    </row>
    <row r="234" spans="107:108" ht="20.25" customHeight="1">
      <c r="DC234" s="31">
        <v>-0.41713161161847434</v>
      </c>
      <c r="DD234" s="31">
        <v>1.2753017706687408</v>
      </c>
    </row>
    <row r="235" spans="107:108" ht="20.25" customHeight="1">
      <c r="DC235" s="31">
        <v>-0.41868110641328138</v>
      </c>
      <c r="DD235" s="31">
        <v>1.2809638334742222</v>
      </c>
    </row>
    <row r="236" spans="107:108" ht="20.25" customHeight="1">
      <c r="DC236" s="31">
        <v>-0.42022278615511299</v>
      </c>
      <c r="DD236" s="31">
        <v>1.2866258962797037</v>
      </c>
    </row>
    <row r="237" spans="107:108" ht="20.25" customHeight="1">
      <c r="DC237" s="31">
        <v>-0.4217566791782309</v>
      </c>
      <c r="DD237" s="31">
        <v>1.2922879590851852</v>
      </c>
    </row>
    <row r="238" spans="107:108" ht="20.25" customHeight="1">
      <c r="DC238" s="31">
        <v>-0.42328281381689614</v>
      </c>
      <c r="DD238" s="31">
        <v>1.2979500218906668</v>
      </c>
    </row>
    <row r="239" spans="107:108" ht="20.25" customHeight="1">
      <c r="DC239" s="31">
        <v>-0.42480121840537033</v>
      </c>
      <c r="DD239" s="31">
        <v>1.3036120846961481</v>
      </c>
    </row>
    <row r="240" spans="107:108" ht="20.25" customHeight="1">
      <c r="DC240" s="31">
        <v>-0.42631192127791528</v>
      </c>
      <c r="DD240" s="31">
        <v>1.3092741475016296</v>
      </c>
    </row>
    <row r="241" spans="107:108" ht="20.25" customHeight="1">
      <c r="DC241" s="31">
        <v>-0.42781495076879217</v>
      </c>
      <c r="DD241" s="31">
        <v>1.3149362103071112</v>
      </c>
    </row>
    <row r="242" spans="107:108" ht="20.25" customHeight="1">
      <c r="DC242" s="31">
        <v>-0.42931033521226269</v>
      </c>
      <c r="DD242" s="31">
        <v>1.3205982731125927</v>
      </c>
    </row>
    <row r="243" spans="107:108" ht="20.25" customHeight="1">
      <c r="DC243" s="31">
        <v>-0.43079810294258836</v>
      </c>
      <c r="DD243" s="31">
        <v>1.326260335918074</v>
      </c>
    </row>
    <row r="244" spans="107:108" ht="20.25" customHeight="1">
      <c r="DC244" s="31">
        <v>-0.43227828229403065</v>
      </c>
      <c r="DD244" s="31">
        <v>1.3319223987235556</v>
      </c>
    </row>
    <row r="245" spans="107:108" ht="20.25" customHeight="1">
      <c r="DC245" s="31">
        <v>-0.43375090160085106</v>
      </c>
      <c r="DD245" s="31">
        <v>1.3375844615290371</v>
      </c>
    </row>
    <row r="246" spans="107:108" ht="20.25" customHeight="1">
      <c r="DC246" s="31">
        <v>-0.43521598919731108</v>
      </c>
      <c r="DD246" s="31">
        <v>1.3432465243345186</v>
      </c>
    </row>
    <row r="247" spans="107:108" ht="20.25" customHeight="1">
      <c r="DC247" s="31">
        <v>-0.43667357341767221</v>
      </c>
      <c r="DD247" s="31">
        <v>1.3489085871399999</v>
      </c>
    </row>
    <row r="248" spans="107:108" ht="20.25" customHeight="1">
      <c r="DC248" s="31">
        <v>-0.43812368259619594</v>
      </c>
      <c r="DD248" s="31">
        <v>1.3545706499454815</v>
      </c>
    </row>
    <row r="249" spans="107:108" ht="20.25" customHeight="1">
      <c r="DC249" s="31">
        <v>-0.43956634506714398</v>
      </c>
      <c r="DD249" s="31">
        <v>1.360232712750963</v>
      </c>
    </row>
    <row r="250" spans="107:108" ht="20.25" customHeight="1">
      <c r="DC250" s="31">
        <v>-0.44100158916477772</v>
      </c>
      <c r="DD250" s="31">
        <v>1.3658947755564446</v>
      </c>
    </row>
    <row r="251" spans="107:108" ht="20.25" customHeight="1">
      <c r="DC251" s="31">
        <v>-0.44242944322335853</v>
      </c>
      <c r="DD251" s="31">
        <v>1.3715568383619259</v>
      </c>
    </row>
    <row r="252" spans="107:108" ht="20.25" customHeight="1">
      <c r="DC252" s="31">
        <v>-0.44384993557714802</v>
      </c>
      <c r="DD252" s="31">
        <v>1.3772189011674074</v>
      </c>
    </row>
    <row r="253" spans="107:108" ht="20.25" customHeight="1">
      <c r="DC253" s="31">
        <v>-0.4452630945604078</v>
      </c>
      <c r="DD253" s="31">
        <v>1.382880963972889</v>
      </c>
    </row>
    <row r="254" spans="107:108" ht="20.25" customHeight="1">
      <c r="DC254" s="31">
        <v>-0.44666894850739924</v>
      </c>
      <c r="DD254" s="31">
        <v>1.3885430267783705</v>
      </c>
    </row>
    <row r="255" spans="107:108" ht="20.25" customHeight="1">
      <c r="DC255" s="31">
        <v>-0.44806752575238395</v>
      </c>
      <c r="DD255" s="31">
        <v>1.3942050895838518</v>
      </c>
    </row>
    <row r="256" spans="107:108" ht="20.25" customHeight="1">
      <c r="DC256" s="31">
        <v>-0.44945885462962354</v>
      </c>
      <c r="DD256" s="31">
        <v>1.3998671523893333</v>
      </c>
    </row>
    <row r="257" spans="107:108" ht="20.25" customHeight="1">
      <c r="DC257" s="31">
        <v>-0.45084296347337927</v>
      </c>
      <c r="DD257" s="31">
        <v>1.4055292151948149</v>
      </c>
    </row>
    <row r="258" spans="107:108" ht="20.25" customHeight="1">
      <c r="DC258" s="31">
        <v>-0.45221988061791263</v>
      </c>
      <c r="DD258" s="31">
        <v>1.4111912780002964</v>
      </c>
    </row>
    <row r="259" spans="107:108" ht="20.25" customHeight="1">
      <c r="DC259" s="31">
        <v>-0.45358963439748534</v>
      </c>
      <c r="DD259" s="31">
        <v>1.4168533408057777</v>
      </c>
    </row>
    <row r="260" spans="107:108" ht="20.25" customHeight="1">
      <c r="DC260" s="31">
        <v>-0.45495225314635901</v>
      </c>
      <c r="DD260" s="31">
        <v>1.4225154036112593</v>
      </c>
    </row>
    <row r="261" spans="107:108" ht="20.25" customHeight="1">
      <c r="DC261" s="31">
        <v>-0.4563077651987949</v>
      </c>
      <c r="DD261" s="31">
        <v>1.4281774664167408</v>
      </c>
    </row>
    <row r="262" spans="107:108" ht="20.25" customHeight="1">
      <c r="DC262" s="31">
        <v>-0.4576561988890544</v>
      </c>
      <c r="DD262" s="31">
        <v>1.4338395292222224</v>
      </c>
    </row>
    <row r="263" spans="107:108" ht="20.25" customHeight="1">
      <c r="DC263" s="31">
        <v>-0.45899758255139933</v>
      </c>
      <c r="DD263" s="31">
        <v>1.4395015920277037</v>
      </c>
    </row>
    <row r="264" spans="107:108" ht="20.25" customHeight="1">
      <c r="DC264" s="31">
        <v>-0.4603319445200913</v>
      </c>
      <c r="DD264" s="31">
        <v>1.4451636548331852</v>
      </c>
    </row>
    <row r="265" spans="107:108" ht="20.25" customHeight="1">
      <c r="DC265" s="31">
        <v>-0.46165931312939146</v>
      </c>
      <c r="DD265" s="31">
        <v>1.4508257176386667</v>
      </c>
    </row>
    <row r="266" spans="107:108" ht="20.25" customHeight="1">
      <c r="DC266" s="31">
        <v>-0.46297971671356164</v>
      </c>
      <c r="DD266" s="31">
        <v>1.4564877804441483</v>
      </c>
    </row>
    <row r="267" spans="107:108" ht="20.25" customHeight="1">
      <c r="DC267" s="31">
        <v>-0.464293183606863</v>
      </c>
      <c r="DD267" s="31">
        <v>1.4621498432496296</v>
      </c>
    </row>
    <row r="268" spans="107:108" ht="20.25" customHeight="1">
      <c r="DC268" s="31">
        <v>-0.46559974214355704</v>
      </c>
      <c r="DD268" s="31">
        <v>1.4678119060551111</v>
      </c>
    </row>
    <row r="269" spans="107:108" ht="20.25" customHeight="1">
      <c r="DC269" s="31">
        <v>-0.46689942065790591</v>
      </c>
      <c r="DD269" s="31">
        <v>1.4734739688605927</v>
      </c>
    </row>
    <row r="270" spans="107:108" ht="20.25" customHeight="1">
      <c r="DC270" s="31">
        <v>-0.46819224748417032</v>
      </c>
      <c r="DD270" s="31">
        <v>1.479136031666074</v>
      </c>
    </row>
    <row r="271" spans="107:108" ht="20.25" customHeight="1">
      <c r="DC271" s="31">
        <v>-0.46947825095661233</v>
      </c>
      <c r="DD271" s="31">
        <v>1.4847980944715555</v>
      </c>
    </row>
    <row r="272" spans="107:108" ht="20.25" customHeight="1">
      <c r="DC272" s="31">
        <v>-0.47075745940949354</v>
      </c>
      <c r="DD272" s="31">
        <v>1.4904601572770371</v>
      </c>
    </row>
    <row r="273" spans="107:108" ht="20.25" customHeight="1">
      <c r="DC273" s="31">
        <v>-0.47202990117707466</v>
      </c>
      <c r="DD273" s="31">
        <v>1.4961222200825186</v>
      </c>
    </row>
    <row r="274" spans="107:108" ht="20.25" customHeight="1">
      <c r="DC274" s="31">
        <v>-0.47329560459361786</v>
      </c>
      <c r="DD274" s="31">
        <v>1.5017842828879999</v>
      </c>
    </row>
    <row r="275" spans="107:108" ht="20.25" customHeight="1">
      <c r="DC275" s="31">
        <v>-0.47455459799338462</v>
      </c>
      <c r="DD275" s="31">
        <v>1.5074463456934815</v>
      </c>
    </row>
    <row r="276" spans="107:108" ht="20.25" customHeight="1">
      <c r="DC276" s="31">
        <v>-0.47580690971063644</v>
      </c>
      <c r="DD276" s="31">
        <v>1.513108408498963</v>
      </c>
    </row>
    <row r="277" spans="107:108" ht="20.25" customHeight="1">
      <c r="DC277" s="31">
        <v>-0.47705256807963459</v>
      </c>
      <c r="DD277" s="31">
        <v>1.5187704713044445</v>
      </c>
    </row>
    <row r="278" spans="107:108" ht="20.25" customHeight="1">
      <c r="DC278" s="31">
        <v>-0.47829160143464067</v>
      </c>
      <c r="DD278" s="31">
        <v>1.5244325341099259</v>
      </c>
    </row>
    <row r="279" spans="107:108" ht="20.25" customHeight="1">
      <c r="DC279" s="31">
        <v>-0.47952403810991651</v>
      </c>
      <c r="DD279" s="31">
        <v>1.5300945969154074</v>
      </c>
    </row>
    <row r="280" spans="107:108" ht="20.25" customHeight="1">
      <c r="DC280" s="31">
        <v>-0.48074990643972315</v>
      </c>
      <c r="DD280" s="31">
        <v>1.5357566597208889</v>
      </c>
    </row>
    <row r="281" spans="107:108" ht="20.25" customHeight="1">
      <c r="DC281" s="31">
        <v>-0.48196923475832254</v>
      </c>
      <c r="DD281" s="31">
        <v>1.5414187225263705</v>
      </c>
    </row>
    <row r="282" spans="107:108" ht="20.25" customHeight="1">
      <c r="DC282" s="31">
        <v>-0.48318205139997572</v>
      </c>
      <c r="DD282" s="31">
        <v>1.5470807853318518</v>
      </c>
    </row>
    <row r="283" spans="107:108" ht="20.25" customHeight="1">
      <c r="DC283" s="31">
        <v>-0.48438838469894441</v>
      </c>
      <c r="DD283" s="31">
        <v>1.5527428481373333</v>
      </c>
    </row>
    <row r="284" spans="107:108" ht="20.25" customHeight="1">
      <c r="DC284" s="31">
        <v>-0.48558826298949043</v>
      </c>
      <c r="DD284" s="31">
        <v>1.5584049109428149</v>
      </c>
    </row>
    <row r="285" spans="107:108" ht="20.25" customHeight="1">
      <c r="DC285" s="31">
        <v>-0.48678171460587483</v>
      </c>
      <c r="DD285" s="31">
        <v>1.5640669737482964</v>
      </c>
    </row>
    <row r="286" spans="107:108" ht="20.25" customHeight="1">
      <c r="DC286" s="31">
        <v>-0.48796876788235932</v>
      </c>
      <c r="DD286" s="31">
        <v>1.5697290365537777</v>
      </c>
    </row>
    <row r="287" spans="107:108" ht="20.25" customHeight="1">
      <c r="DC287" s="31">
        <v>-0.48914945115320541</v>
      </c>
      <c r="DD287" s="31">
        <v>1.5753910993592593</v>
      </c>
    </row>
    <row r="288" spans="107:108" ht="20.25" customHeight="1">
      <c r="DC288" s="31">
        <v>-0.49032379275267457</v>
      </c>
      <c r="DD288" s="31">
        <v>1.5810531621647408</v>
      </c>
    </row>
    <row r="289" spans="107:108" ht="20.25" customHeight="1">
      <c r="DC289" s="31">
        <v>-0.49149182101502842</v>
      </c>
      <c r="DD289" s="31">
        <v>1.5867152249702223</v>
      </c>
    </row>
    <row r="290" spans="107:108" ht="20.25" customHeight="1">
      <c r="DC290" s="31">
        <v>-0.49265356427452833</v>
      </c>
      <c r="DD290" s="31">
        <v>1.5923772877757036</v>
      </c>
    </row>
    <row r="291" spans="107:108" ht="20.25" customHeight="1">
      <c r="DC291" s="31">
        <v>-0.49380905086543603</v>
      </c>
      <c r="DD291" s="31">
        <v>1.5980393505811852</v>
      </c>
    </row>
    <row r="292" spans="107:108" ht="20.25" customHeight="1">
      <c r="DC292" s="31">
        <v>-0.49495830912201255</v>
      </c>
      <c r="DD292" s="31">
        <v>1.6037014133866667</v>
      </c>
    </row>
    <row r="293" spans="107:108" ht="20.25" customHeight="1">
      <c r="DC293" s="31">
        <v>-0.49610136737852006</v>
      </c>
      <c r="DD293" s="31">
        <v>1.6093634761921483</v>
      </c>
    </row>
    <row r="294" spans="107:108" ht="20.25" customHeight="1">
      <c r="DC294" s="31">
        <v>-0.49723825396921961</v>
      </c>
      <c r="DD294" s="31">
        <v>1.6150255389976296</v>
      </c>
    </row>
    <row r="295" spans="107:108" ht="20.25" customHeight="1">
      <c r="DC295" s="31">
        <v>-0.49836899722837291</v>
      </c>
      <c r="DD295" s="31">
        <v>1.6206876018031111</v>
      </c>
    </row>
    <row r="296" spans="107:108" ht="20.25" customHeight="1">
      <c r="DC296" s="31">
        <v>-0.49949362549024123</v>
      </c>
      <c r="DD296" s="31">
        <v>1.6263496646085926</v>
      </c>
    </row>
    <row r="297" spans="107:108" ht="20.25" customHeight="1">
      <c r="DC297" s="31">
        <v>-0.50061216708908651</v>
      </c>
      <c r="DD297" s="31">
        <v>1.6320117274140742</v>
      </c>
    </row>
    <row r="298" spans="107:108" ht="20.25" customHeight="1">
      <c r="DC298" s="31">
        <v>-0.50172465035916969</v>
      </c>
      <c r="DD298" s="31">
        <v>1.6376737902195555</v>
      </c>
    </row>
    <row r="299" spans="107:108" ht="20.25" customHeight="1">
      <c r="DC299" s="31">
        <v>-0.50283110363475292</v>
      </c>
      <c r="DD299" s="31">
        <v>1.643335853025037</v>
      </c>
    </row>
    <row r="300" spans="107:108" ht="20.25" customHeight="1">
      <c r="DC300" s="31">
        <v>-0.50393155525009736</v>
      </c>
      <c r="DD300" s="31">
        <v>1.6489979158305186</v>
      </c>
    </row>
    <row r="301" spans="107:108" ht="20.25" customHeight="1">
      <c r="DC301" s="31">
        <v>-0.50502603353946418</v>
      </c>
      <c r="DD301" s="31">
        <v>1.6546599786360001</v>
      </c>
    </row>
    <row r="302" spans="107:108" ht="20.25" customHeight="1">
      <c r="DC302" s="31">
        <v>-0.50611456683711542</v>
      </c>
      <c r="DD302" s="31">
        <v>1.6603220414414814</v>
      </c>
    </row>
    <row r="303" spans="107:108" ht="20.25" customHeight="1">
      <c r="DC303" s="31">
        <v>-0.50719718347731257</v>
      </c>
      <c r="DD303" s="31">
        <v>1.665984104246963</v>
      </c>
    </row>
    <row r="304" spans="107:108" ht="20.25" customHeight="1">
      <c r="DC304" s="31">
        <v>-0.50827391179431702</v>
      </c>
      <c r="DD304" s="31">
        <v>1.6716461670524445</v>
      </c>
    </row>
    <row r="305" spans="107:108" ht="20.25" customHeight="1">
      <c r="DC305" s="31">
        <v>-0.50934478012239004</v>
      </c>
      <c r="DD305" s="31">
        <v>1.677308229857926</v>
      </c>
    </row>
    <row r="306" spans="107:108" ht="20.25" customHeight="1">
      <c r="DC306" s="31">
        <v>-0.51040981679579356</v>
      </c>
      <c r="DD306" s="31">
        <v>1.6829702926634074</v>
      </c>
    </row>
    <row r="307" spans="107:108" ht="20.25" customHeight="1">
      <c r="DC307" s="31">
        <v>-0.51146905014878896</v>
      </c>
      <c r="DD307" s="31">
        <v>1.6886323554688889</v>
      </c>
    </row>
    <row r="308" spans="107:108" ht="20.25" customHeight="1">
      <c r="DC308" s="31">
        <v>-0.51252250851563763</v>
      </c>
      <c r="DD308" s="31">
        <v>1.6942944182743704</v>
      </c>
    </row>
    <row r="309" spans="107:108" ht="20.25" customHeight="1">
      <c r="DC309" s="31">
        <v>-0.51357022023060106</v>
      </c>
      <c r="DD309" s="31">
        <v>1.699956481079852</v>
      </c>
    </row>
    <row r="310" spans="107:108" ht="20.25" customHeight="1">
      <c r="DC310" s="31">
        <v>-0.51461221362794085</v>
      </c>
      <c r="DD310" s="31">
        <v>1.7056185438853333</v>
      </c>
    </row>
    <row r="311" spans="107:108" ht="20.25" customHeight="1">
      <c r="DC311" s="31">
        <v>-0.5156485170419185</v>
      </c>
      <c r="DD311" s="31">
        <v>1.7112806066908148</v>
      </c>
    </row>
    <row r="312" spans="107:108" ht="20.25" customHeight="1">
      <c r="DC312" s="31">
        <v>-0.51667915880679549</v>
      </c>
      <c r="DD312" s="31">
        <v>1.7169426694962964</v>
      </c>
    </row>
    <row r="313" spans="107:108" ht="20.25" customHeight="1">
      <c r="DC313" s="31">
        <v>-0.51770416725683355</v>
      </c>
      <c r="DD313" s="31">
        <v>1.7226047323017779</v>
      </c>
    </row>
    <row r="314" spans="107:108" ht="20.25" customHeight="1">
      <c r="DC314" s="31">
        <v>-0.51872357072629383</v>
      </c>
      <c r="DD314" s="31">
        <v>1.7282667951072592</v>
      </c>
    </row>
    <row r="315" spans="107:108" ht="20.25" customHeight="1">
      <c r="DC315" s="31">
        <v>-0.51973739754943782</v>
      </c>
      <c r="DD315" s="31">
        <v>1.7339288579127408</v>
      </c>
    </row>
    <row r="316" spans="107:108" ht="20.25" customHeight="1">
      <c r="DC316" s="31">
        <v>-0.52074567606052746</v>
      </c>
      <c r="DD316" s="31">
        <v>1.7395909207182223</v>
      </c>
    </row>
    <row r="317" spans="107:108" ht="20.25" customHeight="1">
      <c r="DC317" s="31">
        <v>-0.52174843459382414</v>
      </c>
      <c r="DD317" s="31">
        <v>1.7452529835237038</v>
      </c>
    </row>
    <row r="318" spans="107:108" ht="20.25" customHeight="1">
      <c r="DC318" s="31">
        <v>-0.52274570148358901</v>
      </c>
      <c r="DD318" s="31">
        <v>1.7509150463291852</v>
      </c>
    </row>
    <row r="319" spans="107:108" ht="20.25" customHeight="1">
      <c r="DC319" s="31">
        <v>-0.52373750506408412</v>
      </c>
      <c r="DD319" s="31">
        <v>1.7565771091346667</v>
      </c>
    </row>
    <row r="320" spans="107:108" ht="20.25" customHeight="1">
      <c r="DC320" s="31">
        <v>-0.5247238736695703</v>
      </c>
      <c r="DD320" s="31">
        <v>1.7622391719401482</v>
      </c>
    </row>
    <row r="321" spans="107:108" ht="20.25" customHeight="1">
      <c r="DC321" s="31">
        <v>-0.52570483563430981</v>
      </c>
      <c r="DD321" s="31">
        <v>1.7679012347456298</v>
      </c>
    </row>
    <row r="322" spans="107:108" ht="20.25" customHeight="1">
      <c r="DC322" s="31">
        <v>-0.52668041929256371</v>
      </c>
      <c r="DD322" s="31">
        <v>1.7735632975511111</v>
      </c>
    </row>
    <row r="323" spans="107:108" ht="20.25" customHeight="1">
      <c r="DC323" s="31">
        <v>-0.52765065297859359</v>
      </c>
      <c r="DD323" s="31">
        <v>1.7792253603565926</v>
      </c>
    </row>
    <row r="324" spans="107:108" ht="20.25" customHeight="1">
      <c r="DC324" s="31">
        <v>-0.52861556502666085</v>
      </c>
      <c r="DD324" s="31">
        <v>1.7848874231620742</v>
      </c>
    </row>
    <row r="325" spans="107:108" ht="20.25" customHeight="1">
      <c r="DC325" s="31">
        <v>-0.52957518377102719</v>
      </c>
      <c r="DD325" s="31">
        <v>1.7905494859675557</v>
      </c>
    </row>
    <row r="326" spans="107:108" ht="20.25" customHeight="1">
      <c r="DC326" s="31">
        <v>-0.53052953754595411</v>
      </c>
      <c r="DD326" s="31">
        <v>1.796211548773037</v>
      </c>
    </row>
    <row r="327" spans="107:108" ht="20.25" customHeight="1">
      <c r="DC327" s="31">
        <v>-0.5314786546857031</v>
      </c>
      <c r="DD327" s="31">
        <v>1.8018736115785186</v>
      </c>
    </row>
    <row r="328" spans="107:108" ht="20.25" customHeight="1">
      <c r="DC328" s="31">
        <v>-0.53242256352453565</v>
      </c>
      <c r="DD328" s="31">
        <v>1.8075356743840001</v>
      </c>
    </row>
    <row r="329" spans="107:108" ht="20.25" customHeight="1">
      <c r="DC329" s="31">
        <v>-0.53336129239671304</v>
      </c>
      <c r="DD329" s="31">
        <v>1.8131977371894816</v>
      </c>
    </row>
    <row r="330" spans="107:108" ht="20.25" customHeight="1">
      <c r="DC330" s="31">
        <v>-0.53429486963649719</v>
      </c>
      <c r="DD330" s="31">
        <v>1.8188597999949629</v>
      </c>
    </row>
    <row r="331" spans="107:108" ht="20.25" customHeight="1">
      <c r="DC331" s="31">
        <v>-0.5352233235781495</v>
      </c>
      <c r="DD331" s="31">
        <v>1.8245218628004445</v>
      </c>
    </row>
    <row r="332" spans="107:108" ht="20.25" customHeight="1">
      <c r="DC332" s="31">
        <v>-0.53614668255593123</v>
      </c>
      <c r="DD332" s="31">
        <v>1.830183925605926</v>
      </c>
    </row>
    <row r="333" spans="107:108" ht="20.25" customHeight="1">
      <c r="DC333" s="31">
        <v>-0.53706497490410421</v>
      </c>
      <c r="DD333" s="31">
        <v>1.8358459884114073</v>
      </c>
    </row>
    <row r="334" spans="107:108" ht="20.25" customHeight="1">
      <c r="DC334" s="31">
        <v>-0.5379782289569297</v>
      </c>
      <c r="DD334" s="31">
        <v>1.8415080512168889</v>
      </c>
    </row>
    <row r="335" spans="107:108" ht="20.25" customHeight="1">
      <c r="DC335" s="31">
        <v>-0.53888647304866921</v>
      </c>
      <c r="DD335" s="31">
        <v>1.8471701140223704</v>
      </c>
    </row>
    <row r="336" spans="107:108" ht="20.25" customHeight="1">
      <c r="DC336" s="31">
        <v>-0.53978973551358467</v>
      </c>
      <c r="DD336" s="31">
        <v>1.852832176827852</v>
      </c>
    </row>
    <row r="337" spans="107:108" ht="20.25" customHeight="1">
      <c r="DC337" s="31">
        <v>-0.54068804468593701</v>
      </c>
      <c r="DD337" s="31">
        <v>1.8584942396333333</v>
      </c>
    </row>
    <row r="338" spans="107:108" ht="20.25" customHeight="1">
      <c r="DC338" s="31">
        <v>-0.54158142889998817</v>
      </c>
      <c r="DD338" s="31">
        <v>1.8641563024388148</v>
      </c>
    </row>
    <row r="339" spans="107:108" ht="20.25" customHeight="1">
      <c r="DC339" s="31">
        <v>-0.54246991648999932</v>
      </c>
      <c r="DD339" s="31">
        <v>1.8698183652442963</v>
      </c>
    </row>
    <row r="340" spans="107:108" ht="20.25" customHeight="1">
      <c r="DC340" s="31">
        <v>-0.54335353579023238</v>
      </c>
      <c r="DD340" s="31">
        <v>1.8754804280497779</v>
      </c>
    </row>
    <row r="341" spans="107:108" ht="20.25" customHeight="1">
      <c r="DC341" s="31">
        <v>-0.54423231513494841</v>
      </c>
      <c r="DD341" s="31">
        <v>1.8811424908552592</v>
      </c>
    </row>
    <row r="342" spans="107:108" ht="20.25" customHeight="1">
      <c r="DC342" s="31">
        <v>-0.54510628285840934</v>
      </c>
      <c r="DD342" s="31">
        <v>1.8868045536607407</v>
      </c>
    </row>
    <row r="343" spans="107:108" ht="20.25" customHeight="1">
      <c r="DC343" s="31">
        <v>-0.54597546729487645</v>
      </c>
      <c r="DD343" s="31">
        <v>1.8924666164662223</v>
      </c>
    </row>
    <row r="344" spans="107:108" ht="20.25" customHeight="1">
      <c r="DC344" s="31">
        <v>-0.54683989677861111</v>
      </c>
      <c r="DD344" s="31">
        <v>1.8981286792717038</v>
      </c>
    </row>
    <row r="345" spans="107:108" ht="20.25" customHeight="1">
      <c r="DC345" s="31">
        <v>-0.54769959964387516</v>
      </c>
      <c r="DD345" s="31">
        <v>1.9037907420771851</v>
      </c>
    </row>
    <row r="346" spans="107:108" ht="20.25" customHeight="1">
      <c r="DC346" s="31">
        <v>-0.54855460422493019</v>
      </c>
      <c r="DD346" s="31">
        <v>1.9094528048826667</v>
      </c>
    </row>
    <row r="347" spans="107:108" ht="20.25" customHeight="1">
      <c r="DC347" s="31">
        <v>-0.54940493885603725</v>
      </c>
      <c r="DD347" s="31">
        <v>1.9151148676881482</v>
      </c>
    </row>
    <row r="348" spans="107:108" ht="20.25" customHeight="1">
      <c r="DC348" s="31">
        <v>-0.55025063187145795</v>
      </c>
      <c r="DD348" s="31">
        <v>1.9207769304936297</v>
      </c>
    </row>
    <row r="349" spans="107:108" ht="20.25" customHeight="1">
      <c r="DC349" s="31">
        <v>-0.551091711605454</v>
      </c>
      <c r="DD349" s="31">
        <v>1.9264389932991111</v>
      </c>
    </row>
    <row r="350" spans="107:108" ht="20.25" customHeight="1">
      <c r="DC350" s="31">
        <v>-0.55192820639228701</v>
      </c>
      <c r="DD350" s="31">
        <v>1.9321010561045926</v>
      </c>
    </row>
    <row r="351" spans="107:108" ht="20.25" customHeight="1">
      <c r="DC351" s="31">
        <v>-0.55276014456621814</v>
      </c>
      <c r="DD351" s="31">
        <v>1.9377631189100741</v>
      </c>
    </row>
    <row r="352" spans="107:108" ht="20.25" customHeight="1">
      <c r="DC352" s="31">
        <v>-0.55358755446150931</v>
      </c>
      <c r="DD352" s="31">
        <v>1.9434251817155557</v>
      </c>
    </row>
    <row r="353" spans="107:108" ht="20.25" customHeight="1">
      <c r="DC353" s="31">
        <v>-0.5544104644124217</v>
      </c>
      <c r="DD353" s="31">
        <v>1.949087244521037</v>
      </c>
    </row>
    <row r="354" spans="107:108" ht="20.25" customHeight="1">
      <c r="DC354" s="31">
        <v>-0.55522890275321679</v>
      </c>
      <c r="DD354" s="31">
        <v>1.9547493073265185</v>
      </c>
    </row>
    <row r="355" spans="107:108" ht="20.25" customHeight="1">
      <c r="DC355" s="31">
        <v>-0.55604289781815641</v>
      </c>
      <c r="DD355" s="31">
        <v>1.9604113701320001</v>
      </c>
    </row>
    <row r="356" spans="107:108" ht="20.25" customHeight="1">
      <c r="DC356" s="31">
        <v>-0.55685247794150194</v>
      </c>
      <c r="DD356" s="31">
        <v>1.9660734329374816</v>
      </c>
    </row>
    <row r="357" spans="107:108" ht="20.25" customHeight="1">
      <c r="DC357" s="31">
        <v>-0.55765767145751466</v>
      </c>
      <c r="DD357" s="31">
        <v>1.9717354957429629</v>
      </c>
    </row>
    <row r="358" spans="107:108" ht="20.25" customHeight="1">
      <c r="DC358" s="31">
        <v>-0.55845850670045616</v>
      </c>
      <c r="DD358" s="31">
        <v>1.9773975585484445</v>
      </c>
    </row>
    <row r="359" spans="107:108" ht="20.25" customHeight="1">
      <c r="DC359" s="31">
        <v>-0.55925501200458838</v>
      </c>
      <c r="DD359" s="31">
        <v>1.983059621353926</v>
      </c>
    </row>
    <row r="360" spans="107:108" ht="20.25" customHeight="1">
      <c r="DC360" s="31">
        <v>-0.56004721570417237</v>
      </c>
      <c r="DD360" s="31">
        <v>1.9887216841594075</v>
      </c>
    </row>
    <row r="361" spans="107:108" ht="20.25" customHeight="1">
      <c r="DC361" s="31">
        <v>-0.56083514613346985</v>
      </c>
      <c r="DD361" s="31">
        <v>1.9943837469648888</v>
      </c>
    </row>
    <row r="362" spans="107:108" ht="20.25" customHeight="1">
      <c r="DC362" s="31">
        <v>-0.5616188316267422</v>
      </c>
      <c r="DD362" s="31">
        <v>2.0000458097703704</v>
      </c>
    </row>
    <row r="363" spans="107:108" ht="20.25" customHeight="1">
      <c r="DC363" s="31">
        <v>-0.5623983005182509</v>
      </c>
      <c r="DD363" s="31">
        <v>2.0057078725758521</v>
      </c>
    </row>
    <row r="364" spans="107:108" ht="20.25" customHeight="1">
      <c r="DC364" s="31">
        <v>-0.56317358114225768</v>
      </c>
      <c r="DD364" s="31">
        <v>2.0113699353813335</v>
      </c>
    </row>
    <row r="365" spans="107:108" ht="20.25" customHeight="1">
      <c r="DC365" s="31">
        <v>-0.56394470183302381</v>
      </c>
      <c r="DD365" s="31">
        <v>2.0170319981868148</v>
      </c>
    </row>
    <row r="366" spans="107:108" ht="20.25" customHeight="1">
      <c r="DC366" s="31">
        <v>-0.56471169092481077</v>
      </c>
      <c r="DD366" s="31">
        <v>2.0226940609922965</v>
      </c>
    </row>
    <row r="367" spans="107:108" ht="20.25" customHeight="1">
      <c r="DC367" s="31">
        <v>-0.56547457675188051</v>
      </c>
      <c r="DD367" s="31">
        <v>2.0283561237977779</v>
      </c>
    </row>
    <row r="368" spans="107:108" ht="20.25" customHeight="1">
      <c r="DC368" s="31">
        <v>-0.56623338764849418</v>
      </c>
      <c r="DD368" s="31">
        <v>2.0340181866032596</v>
      </c>
    </row>
    <row r="369" spans="107:108" ht="20.25" customHeight="1">
      <c r="DC369" s="31">
        <v>-0.56698815194891339</v>
      </c>
      <c r="DD369" s="31">
        <v>2.0396802494087409</v>
      </c>
    </row>
    <row r="370" spans="107:108" ht="20.25" customHeight="1">
      <c r="DC370" s="31">
        <v>-0.56773889798739952</v>
      </c>
      <c r="DD370" s="31">
        <v>2.0453423122142227</v>
      </c>
    </row>
    <row r="371" spans="107:108" ht="20.25" customHeight="1">
      <c r="DC371" s="31">
        <v>-0.56848565409821417</v>
      </c>
      <c r="DD371" s="31">
        <v>2.051004375019704</v>
      </c>
    </row>
    <row r="372" spans="107:108" ht="20.25" customHeight="1">
      <c r="DC372" s="31">
        <v>-0.56922844861561883</v>
      </c>
      <c r="DD372" s="31">
        <v>2.0566664378251853</v>
      </c>
    </row>
    <row r="373" spans="107:108" ht="20.25" customHeight="1">
      <c r="DC373" s="31">
        <v>-0.56996730987387523</v>
      </c>
      <c r="DD373" s="31">
        <v>2.0623285006306671</v>
      </c>
    </row>
    <row r="374" spans="107:108" ht="20.25" customHeight="1">
      <c r="DC374" s="31">
        <v>-0.57070226620724485</v>
      </c>
      <c r="DD374" s="31">
        <v>2.0679905634361484</v>
      </c>
    </row>
    <row r="375" spans="107:108" ht="20.25" customHeight="1">
      <c r="DC375" s="31">
        <v>-0.57143334594998862</v>
      </c>
      <c r="DD375" s="31">
        <v>2.0736526262416297</v>
      </c>
    </row>
    <row r="376" spans="107:108" ht="20.25" customHeight="1">
      <c r="DC376" s="31">
        <v>-0.57216057743636861</v>
      </c>
      <c r="DD376" s="31">
        <v>2.0793146890471115</v>
      </c>
    </row>
    <row r="377" spans="107:108" ht="20.25" customHeight="1">
      <c r="DC377" s="31">
        <v>-0.57288398900064619</v>
      </c>
      <c r="DD377" s="31">
        <v>2.0849767518525928</v>
      </c>
    </row>
    <row r="378" spans="107:108" ht="20.25" customHeight="1">
      <c r="DC378" s="31">
        <v>-0.57360360897708318</v>
      </c>
      <c r="DD378" s="31">
        <v>2.0906388146580746</v>
      </c>
    </row>
    <row r="379" spans="107:108" ht="20.25" customHeight="1">
      <c r="DC379" s="31">
        <v>-0.57431946569994041</v>
      </c>
      <c r="DD379" s="31">
        <v>2.0963008774635559</v>
      </c>
    </row>
    <row r="380" spans="107:108" ht="20.25" customHeight="1">
      <c r="DC380" s="31">
        <v>-0.57503158750347982</v>
      </c>
      <c r="DD380" s="31">
        <v>2.1019629402690372</v>
      </c>
    </row>
    <row r="381" spans="107:108" ht="20.25" customHeight="1">
      <c r="DC381" s="31">
        <v>-0.57574000272196291</v>
      </c>
      <c r="DD381" s="31">
        <v>2.1076250030745189</v>
      </c>
    </row>
    <row r="382" spans="107:108" ht="20.25" customHeight="1">
      <c r="DC382" s="31">
        <v>-0.57644473968965115</v>
      </c>
      <c r="DD382" s="31">
        <v>2.1132870658800003</v>
      </c>
    </row>
    <row r="383" spans="107:108" ht="20.25" customHeight="1">
      <c r="DC383" s="31">
        <v>-0.57714582674080617</v>
      </c>
      <c r="DD383" s="31">
        <v>2.1189491286854816</v>
      </c>
    </row>
    <row r="384" spans="107:108" ht="20.25" customHeight="1">
      <c r="DC384" s="31">
        <v>-0.57784329220968933</v>
      </c>
      <c r="DD384" s="31">
        <v>2.1246111914909633</v>
      </c>
    </row>
    <row r="385" spans="107:108" ht="20.25" customHeight="1">
      <c r="DC385" s="31">
        <v>-0.57853716443056225</v>
      </c>
      <c r="DD385" s="31">
        <v>2.1302732542964447</v>
      </c>
    </row>
    <row r="386" spans="107:108" ht="20.25" customHeight="1">
      <c r="DC386" s="31">
        <v>-0.57922747173768607</v>
      </c>
      <c r="DD386" s="31">
        <v>2.1359353171019264</v>
      </c>
    </row>
    <row r="387" spans="107:108" ht="20.25" customHeight="1">
      <c r="DC387" s="31">
        <v>-0.57991424246532264</v>
      </c>
      <c r="DD387" s="31">
        <v>2.1415973799074077</v>
      </c>
    </row>
    <row r="388" spans="107:108" ht="20.25" customHeight="1">
      <c r="DC388" s="31">
        <v>-0.58059750494773377</v>
      </c>
      <c r="DD388" s="31">
        <v>2.147259442712889</v>
      </c>
    </row>
    <row r="389" spans="107:108" ht="20.25" customHeight="1">
      <c r="DC389" s="31">
        <v>-0.58127728751918017</v>
      </c>
      <c r="DD389" s="31">
        <v>2.1529215055183708</v>
      </c>
    </row>
    <row r="390" spans="107:108" ht="20.25" customHeight="1">
      <c r="DC390" s="31">
        <v>-0.58195361851392435</v>
      </c>
      <c r="DD390" s="31">
        <v>2.1585835683238521</v>
      </c>
    </row>
    <row r="391" spans="107:108" ht="20.25" customHeight="1">
      <c r="DC391" s="31">
        <v>-0.5826265262662268</v>
      </c>
      <c r="DD391" s="31">
        <v>2.1642456311293334</v>
      </c>
    </row>
    <row r="392" spans="107:108" ht="20.25" customHeight="1">
      <c r="DC392" s="31">
        <v>-0.58329603911034988</v>
      </c>
      <c r="DD392" s="31">
        <v>2.1699076939348152</v>
      </c>
    </row>
    <row r="393" spans="107:108" ht="20.25" customHeight="1">
      <c r="DC393" s="31">
        <v>-0.58396218538055444</v>
      </c>
      <c r="DD393" s="31">
        <v>2.1755697567402965</v>
      </c>
    </row>
    <row r="394" spans="107:108" ht="20.25" customHeight="1">
      <c r="DC394" s="31">
        <v>-0.58462499341110241</v>
      </c>
      <c r="DD394" s="31">
        <v>2.1812318195457783</v>
      </c>
    </row>
    <row r="395" spans="107:108" ht="20.25" customHeight="1">
      <c r="DC395" s="31">
        <v>-0.58528449153625528</v>
      </c>
      <c r="DD395" s="31">
        <v>2.1868938823512596</v>
      </c>
    </row>
    <row r="396" spans="107:108" ht="20.25" customHeight="1">
      <c r="DC396" s="31">
        <v>-0.58594070809027443</v>
      </c>
      <c r="DD396" s="31">
        <v>2.1925559451567409</v>
      </c>
    </row>
    <row r="397" spans="107:108" ht="20.25" customHeight="1">
      <c r="DC397" s="31">
        <v>-0.58659367140742147</v>
      </c>
      <c r="DD397" s="31">
        <v>2.1982180079622227</v>
      </c>
    </row>
    <row r="398" spans="107:108" ht="20.25" customHeight="1">
      <c r="DC398" s="31">
        <v>-0.58724340982195755</v>
      </c>
      <c r="DD398" s="31">
        <v>2.203880070767704</v>
      </c>
    </row>
    <row r="399" spans="107:108" ht="20.25" customHeight="1">
      <c r="DC399" s="31">
        <v>-0.58788995166814473</v>
      </c>
      <c r="DD399" s="31">
        <v>2.2095421335731853</v>
      </c>
    </row>
    <row r="400" spans="107:108" ht="20.25" customHeight="1">
      <c r="DC400" s="31">
        <v>-0.58853332528024416</v>
      </c>
      <c r="DD400" s="31">
        <v>2.2152041963786671</v>
      </c>
    </row>
    <row r="401" spans="107:108" ht="20.25" customHeight="1">
      <c r="DC401" s="31">
        <v>-0.58917355899251722</v>
      </c>
      <c r="DD401" s="31">
        <v>2.2208662591841484</v>
      </c>
    </row>
    <row r="402" spans="107:108" ht="20.25" customHeight="1">
      <c r="DC402" s="31">
        <v>-0.58981068113922597</v>
      </c>
      <c r="DD402" s="31">
        <v>2.2265283219896297</v>
      </c>
    </row>
    <row r="403" spans="107:108" ht="20.25" customHeight="1">
      <c r="DC403" s="31">
        <v>-0.59044472005463189</v>
      </c>
      <c r="DD403" s="31">
        <v>2.2321903847951114</v>
      </c>
    </row>
    <row r="404" spans="107:108" ht="20.25" customHeight="1">
      <c r="DC404" s="31">
        <v>-0.59107570407299581</v>
      </c>
      <c r="DD404" s="31">
        <v>2.2378524476005928</v>
      </c>
    </row>
    <row r="405" spans="107:108" ht="20.25" customHeight="1">
      <c r="DC405" s="31">
        <v>-0.59170366152857967</v>
      </c>
      <c r="DD405" s="31">
        <v>2.2435145104060745</v>
      </c>
    </row>
    <row r="406" spans="107:108" ht="20.25" customHeight="1">
      <c r="DC406" s="31">
        <v>-0.59232862075564496</v>
      </c>
      <c r="DD406" s="31">
        <v>2.2491765732115558</v>
      </c>
    </row>
    <row r="407" spans="107:108" ht="20.25" customHeight="1">
      <c r="DC407" s="31">
        <v>-0.59295061008845307</v>
      </c>
      <c r="DD407" s="31">
        <v>2.2548386360170372</v>
      </c>
    </row>
    <row r="408" spans="107:108" ht="20.25" customHeight="1">
      <c r="DC408" s="31">
        <v>-0.59356965786126581</v>
      </c>
      <c r="DD408" s="31">
        <v>2.2605006988225189</v>
      </c>
    </row>
    <row r="409" spans="107:108" ht="20.25" customHeight="1">
      <c r="DC409" s="31">
        <v>-0.59418579240834435</v>
      </c>
      <c r="DD409" s="31">
        <v>2.2661627616280002</v>
      </c>
    </row>
    <row r="410" spans="107:108" ht="20.25" customHeight="1">
      <c r="DC410" s="31">
        <v>-0.59479904206395051</v>
      </c>
      <c r="DD410" s="31">
        <v>2.2718248244334815</v>
      </c>
    </row>
    <row r="411" spans="107:108" ht="20.25" customHeight="1">
      <c r="DC411" s="31">
        <v>-0.59540943516234568</v>
      </c>
      <c r="DD411" s="31">
        <v>2.2774868872389633</v>
      </c>
    </row>
    <row r="412" spans="107:108" ht="20.25" customHeight="1">
      <c r="DC412" s="31">
        <v>-0.59601700003779112</v>
      </c>
      <c r="DD412" s="31">
        <v>2.2831489500444446</v>
      </c>
    </row>
    <row r="413" spans="107:108" ht="20.25" customHeight="1">
      <c r="DC413" s="31">
        <v>-0.59662176502454878</v>
      </c>
      <c r="DD413" s="31">
        <v>2.2888110128499264</v>
      </c>
    </row>
    <row r="414" spans="107:108" ht="20.25" customHeight="1">
      <c r="DC414" s="31">
        <v>-0.59722375845687969</v>
      </c>
      <c r="DD414" s="31">
        <v>2.2944730756554077</v>
      </c>
    </row>
    <row r="415" spans="107:108" ht="20.25" customHeight="1">
      <c r="DC415" s="31">
        <v>-0.59782300866904581</v>
      </c>
      <c r="DD415" s="31">
        <v>2.300135138460889</v>
      </c>
    </row>
    <row r="416" spans="107:108" ht="20.25" customHeight="1">
      <c r="DC416" s="31">
        <v>-0.59841954399530872</v>
      </c>
      <c r="DD416" s="31">
        <v>2.3057972012663708</v>
      </c>
    </row>
    <row r="417" spans="107:108" ht="20.25" customHeight="1">
      <c r="DC417" s="31">
        <v>-0.59901339276992949</v>
      </c>
      <c r="DD417" s="31">
        <v>2.3114592640718521</v>
      </c>
    </row>
    <row r="418" spans="107:108" ht="20.25" customHeight="1">
      <c r="DC418" s="31">
        <v>-0.59960458332716959</v>
      </c>
      <c r="DD418" s="31">
        <v>2.3171213268773334</v>
      </c>
    </row>
    <row r="419" spans="107:108" ht="20.25" customHeight="1">
      <c r="DC419" s="31">
        <v>-0.60019314400129087</v>
      </c>
      <c r="DD419" s="31">
        <v>2.3227833896828152</v>
      </c>
    </row>
    <row r="420" spans="107:108" ht="20.25" customHeight="1">
      <c r="DC420" s="31">
        <v>-0.60077910312655469</v>
      </c>
      <c r="DD420" s="31">
        <v>2.3284454524882965</v>
      </c>
    </row>
    <row r="421" spans="107:108" ht="20.25" customHeight="1">
      <c r="DC421" s="31">
        <v>-0.601362489037223</v>
      </c>
      <c r="DD421" s="31">
        <v>2.3341075152937782</v>
      </c>
    </row>
    <row r="422" spans="107:108" ht="20.25" customHeight="1">
      <c r="DC422" s="31">
        <v>-0.6019433300675564</v>
      </c>
      <c r="DD422" s="31">
        <v>2.3397695780992596</v>
      </c>
    </row>
    <row r="423" spans="107:108" ht="20.25" customHeight="1">
      <c r="DC423" s="31">
        <v>-0.60252165455181705</v>
      </c>
      <c r="DD423" s="31">
        <v>2.3454316409047409</v>
      </c>
    </row>
    <row r="424" spans="107:108" ht="20.25" customHeight="1">
      <c r="DC424" s="31">
        <v>-0.60309749082426645</v>
      </c>
      <c r="DD424" s="31">
        <v>2.3510937037102226</v>
      </c>
    </row>
    <row r="425" spans="107:108" ht="20.25" customHeight="1">
      <c r="DC425" s="31">
        <v>-0.60367086721916585</v>
      </c>
      <c r="DD425" s="31">
        <v>2.356755766515704</v>
      </c>
    </row>
    <row r="426" spans="107:108" ht="20.25" customHeight="1">
      <c r="DC426" s="31">
        <v>-0.60424181207077676</v>
      </c>
      <c r="DD426" s="31">
        <v>2.3624178293211853</v>
      </c>
    </row>
    <row r="427" spans="107:108" ht="20.25" customHeight="1">
      <c r="DC427" s="31">
        <v>-0.604810353713361</v>
      </c>
      <c r="DD427" s="31">
        <v>2.368079892126667</v>
      </c>
    </row>
    <row r="428" spans="107:108" ht="20.25" customHeight="1">
      <c r="DC428" s="31">
        <v>-0.60537652048117974</v>
      </c>
      <c r="DD428" s="31">
        <v>2.3737419549321483</v>
      </c>
    </row>
    <row r="429" spans="107:108" ht="20.25" customHeight="1">
      <c r="DC429" s="31">
        <v>-0.60594034070849523</v>
      </c>
      <c r="DD429" s="31">
        <v>2.3794040177376301</v>
      </c>
    </row>
    <row r="430" spans="107:108" ht="20.25" customHeight="1">
      <c r="DC430" s="31">
        <v>-0.60650184272956797</v>
      </c>
      <c r="DD430" s="31">
        <v>2.3850660805431114</v>
      </c>
    </row>
    <row r="431" spans="107:108" ht="20.25" customHeight="1">
      <c r="DC431" s="31">
        <v>-0.6070610548786598</v>
      </c>
      <c r="DD431" s="31">
        <v>2.3907281433485927</v>
      </c>
    </row>
    <row r="432" spans="107:108" ht="20.25" customHeight="1">
      <c r="DC432" s="31">
        <v>-0.60761800549003242</v>
      </c>
      <c r="DD432" s="31">
        <v>2.3963902061540745</v>
      </c>
    </row>
    <row r="433" spans="107:108" ht="20.25" customHeight="1">
      <c r="DC433" s="31">
        <v>-0.60817272289794733</v>
      </c>
      <c r="DD433" s="31">
        <v>2.4020522689595558</v>
      </c>
    </row>
    <row r="434" spans="107:108" ht="20.25" customHeight="1">
      <c r="DC434" s="31">
        <v>-0.60872523543666601</v>
      </c>
      <c r="DD434" s="31">
        <v>2.4077143317650371</v>
      </c>
    </row>
    <row r="435" spans="107:108" ht="20.25" customHeight="1">
      <c r="DC435" s="31">
        <v>-0.60927557144045019</v>
      </c>
      <c r="DD435" s="31">
        <v>2.4133763945705189</v>
      </c>
    </row>
    <row r="436" spans="107:108" ht="20.25" customHeight="1">
      <c r="DC436" s="31">
        <v>-0.6098237592435608</v>
      </c>
      <c r="DD436" s="31">
        <v>2.4190384573760002</v>
      </c>
    </row>
    <row r="437" spans="107:108" ht="20.25" customHeight="1">
      <c r="DC437" s="31">
        <v>-0.61036982718025945</v>
      </c>
      <c r="DD437" s="31">
        <v>2.424700520181482</v>
      </c>
    </row>
    <row r="438" spans="107:108" ht="20.25" customHeight="1">
      <c r="DC438" s="31">
        <v>-0.6109138035848084</v>
      </c>
      <c r="DD438" s="31">
        <v>2.4303625829869633</v>
      </c>
    </row>
    <row r="439" spans="107:108" ht="20.25" customHeight="1">
      <c r="DC439" s="31">
        <v>-0.61145571679146815</v>
      </c>
      <c r="DD439" s="31">
        <v>2.4360246457924446</v>
      </c>
    </row>
    <row r="440" spans="107:108" ht="20.25" customHeight="1">
      <c r="DC440" s="31">
        <v>-0.61199559513450119</v>
      </c>
      <c r="DD440" s="31">
        <v>2.4416867085979264</v>
      </c>
    </row>
    <row r="441" spans="107:108" ht="20.25" customHeight="1">
      <c r="DC441" s="31">
        <v>-0.61253346694816824</v>
      </c>
      <c r="DD441" s="31">
        <v>2.4473487714034077</v>
      </c>
    </row>
    <row r="442" spans="107:108" ht="20.25" customHeight="1">
      <c r="DC442" s="31">
        <v>-0.61306936056673123</v>
      </c>
      <c r="DD442" s="31">
        <v>2.453010834208889</v>
      </c>
    </row>
    <row r="443" spans="107:108" ht="20.25" customHeight="1">
      <c r="DC443" s="31">
        <v>-0.61360330432445154</v>
      </c>
      <c r="DD443" s="31">
        <v>2.4586728970143708</v>
      </c>
    </row>
    <row r="444" spans="107:108" ht="20.25" customHeight="1">
      <c r="DC444" s="31">
        <v>-0.61413532655559055</v>
      </c>
      <c r="DD444" s="31">
        <v>2.4643349598198521</v>
      </c>
    </row>
    <row r="445" spans="107:108" ht="20.25" customHeight="1">
      <c r="DC445" s="31">
        <v>-0.61466545559440999</v>
      </c>
      <c r="DD445" s="31">
        <v>2.4699970226253338</v>
      </c>
    </row>
    <row r="446" spans="107:108" ht="20.25" customHeight="1">
      <c r="DC446" s="31">
        <v>-0.61519371977517134</v>
      </c>
      <c r="DD446" s="31">
        <v>2.4756590854308151</v>
      </c>
    </row>
    <row r="447" spans="107:108" ht="20.25" customHeight="1">
      <c r="DC447" s="31">
        <v>-0.61572014743213621</v>
      </c>
      <c r="DD447" s="31">
        <v>2.4813211482362965</v>
      </c>
    </row>
    <row r="448" spans="107:108" ht="20.25" customHeight="1">
      <c r="DC448" s="31">
        <v>-0.61624476689956553</v>
      </c>
      <c r="DD448" s="31">
        <v>2.4869832110417782</v>
      </c>
    </row>
    <row r="449" spans="107:108" ht="20.25" customHeight="1">
      <c r="DC449" s="31">
        <v>-0.61676760651172169</v>
      </c>
      <c r="DD449" s="31">
        <v>2.4926452738472595</v>
      </c>
    </row>
    <row r="450" spans="107:108" ht="20.25" customHeight="1">
      <c r="DC450" s="31">
        <v>-0.61728869460286562</v>
      </c>
      <c r="DD450" s="31">
        <v>2.4983073366527409</v>
      </c>
    </row>
    <row r="451" spans="107:108" ht="20.25" customHeight="1">
      <c r="DC451" s="31">
        <v>-0.61780805950725892</v>
      </c>
      <c r="DD451" s="31">
        <v>2.5039693994582226</v>
      </c>
    </row>
    <row r="452" spans="107:108" ht="20.25" customHeight="1">
      <c r="DC452" s="31">
        <v>-0.6183257295591631</v>
      </c>
      <c r="DD452" s="31">
        <v>2.5096314622637039</v>
      </c>
    </row>
    <row r="453" spans="107:108" ht="20.25" customHeight="1">
      <c r="DC453" s="31">
        <v>-0.61884173309283996</v>
      </c>
      <c r="DD453" s="31">
        <v>2.5152935250691857</v>
      </c>
    </row>
    <row r="454" spans="107:108" ht="20.25" customHeight="1">
      <c r="DC454" s="31">
        <v>-0.61935609844255068</v>
      </c>
      <c r="DD454" s="31">
        <v>2.520955587874667</v>
      </c>
    </row>
    <row r="455" spans="107:108" ht="20.25" customHeight="1">
      <c r="DC455" s="31">
        <v>-0.61986885394255686</v>
      </c>
      <c r="DD455" s="31">
        <v>2.5266176506801483</v>
      </c>
    </row>
    <row r="456" spans="107:108" ht="20.25" customHeight="1">
      <c r="DC456" s="31">
        <v>-0.62038002792711999</v>
      </c>
      <c r="DD456" s="31">
        <v>2.5322797134856301</v>
      </c>
    </row>
    <row r="457" spans="107:108" ht="20.25" customHeight="1">
      <c r="DC457" s="31">
        <v>-0.62088964873050168</v>
      </c>
      <c r="DD457" s="31">
        <v>2.5379417762911114</v>
      </c>
    </row>
    <row r="458" spans="107:108" ht="20.25" customHeight="1">
      <c r="DC458" s="31">
        <v>-0.62139774468696307</v>
      </c>
      <c r="DD458" s="31">
        <v>2.5436038390965927</v>
      </c>
    </row>
    <row r="459" spans="107:108" ht="20.25" customHeight="1">
      <c r="DC459" s="31">
        <v>-0.62190434413076645</v>
      </c>
      <c r="DD459" s="31">
        <v>2.5492659019020745</v>
      </c>
    </row>
    <row r="460" spans="107:108" ht="20.25" customHeight="1">
      <c r="DC460" s="31">
        <v>-0.62240947539617275</v>
      </c>
      <c r="DD460" s="31">
        <v>2.5549279647075558</v>
      </c>
    </row>
    <row r="461" spans="107:108" ht="20.25" customHeight="1">
      <c r="DC461" s="31">
        <v>-0.62291316681744313</v>
      </c>
      <c r="DD461" s="31">
        <v>2.5605900275130371</v>
      </c>
    </row>
    <row r="462" spans="107:108" ht="20.25" customHeight="1">
      <c r="DC462" s="31">
        <v>-0.62341544672884008</v>
      </c>
      <c r="DD462" s="31">
        <v>2.5662520903185189</v>
      </c>
    </row>
    <row r="463" spans="107:108" ht="20.25" customHeight="1">
      <c r="DC463" s="31">
        <v>-0.6239163434646241</v>
      </c>
      <c r="DD463" s="31">
        <v>2.5719141531240002</v>
      </c>
    </row>
    <row r="464" spans="107:108" ht="20.25" customHeight="1">
      <c r="DC464" s="31">
        <v>-0.6244158853590579</v>
      </c>
      <c r="DD464" s="31">
        <v>2.5775762159294819</v>
      </c>
    </row>
    <row r="465" spans="107:108" ht="20.25" customHeight="1">
      <c r="DC465" s="31">
        <v>-0.62491410074640175</v>
      </c>
      <c r="DD465" s="31">
        <v>2.5832382787349633</v>
      </c>
    </row>
    <row r="466" spans="107:108" ht="20.25" customHeight="1">
      <c r="DC466" s="31">
        <v>-0.62541101796091791</v>
      </c>
      <c r="DD466" s="31">
        <v>2.5889003415404446</v>
      </c>
    </row>
    <row r="467" spans="107:108" ht="20.25" customHeight="1">
      <c r="DC467" s="31">
        <v>-0.62590666533686756</v>
      </c>
      <c r="DD467" s="31">
        <v>2.5945624043459263</v>
      </c>
    </row>
    <row r="468" spans="107:108" ht="20.25" customHeight="1">
      <c r="DC468" s="31">
        <v>-0.62640107120851229</v>
      </c>
      <c r="DD468" s="31">
        <v>2.6002244671514076</v>
      </c>
    </row>
    <row r="469" spans="107:108" ht="20.25" customHeight="1">
      <c r="DC469" s="31">
        <v>-0.62689426391011371</v>
      </c>
      <c r="DD469" s="31">
        <v>2.605886529956889</v>
      </c>
    </row>
    <row r="470" spans="107:108" ht="20.25" customHeight="1">
      <c r="DC470" s="31">
        <v>-0.6273862717759332</v>
      </c>
      <c r="DD470" s="31">
        <v>2.6115485927623707</v>
      </c>
    </row>
    <row r="471" spans="107:108" ht="20.25" customHeight="1">
      <c r="DC471" s="31">
        <v>-0.62787712314023236</v>
      </c>
      <c r="DD471" s="31">
        <v>2.617210655567852</v>
      </c>
    </row>
    <row r="472" spans="107:108" ht="20.25" customHeight="1">
      <c r="DC472" s="31">
        <v>-0.62836684633727258</v>
      </c>
      <c r="DD472" s="31">
        <v>2.6228727183733338</v>
      </c>
    </row>
    <row r="473" spans="107:108" ht="20.25" customHeight="1">
      <c r="DC473" s="31">
        <v>-0.62885546970131567</v>
      </c>
      <c r="DD473" s="31">
        <v>2.6285347811788151</v>
      </c>
    </row>
    <row r="474" spans="107:108" ht="20.25" customHeight="1">
      <c r="DC474" s="31">
        <v>-0.62934302156662303</v>
      </c>
      <c r="DD474" s="31">
        <v>2.6341968439842964</v>
      </c>
    </row>
    <row r="475" spans="107:108" ht="20.25" customHeight="1">
      <c r="DC475" s="31">
        <v>-0.62982953026745558</v>
      </c>
      <c r="DD475" s="31">
        <v>2.6398589067897782</v>
      </c>
    </row>
    <row r="476" spans="107:108" ht="20.25" customHeight="1">
      <c r="DC476" s="31">
        <v>-0.63031502413807583</v>
      </c>
      <c r="DD476" s="31">
        <v>2.6455209695952595</v>
      </c>
    </row>
    <row r="477" spans="107:108" ht="20.25" customHeight="1">
      <c r="DC477" s="31">
        <v>-0.63079953151274448</v>
      </c>
      <c r="DD477" s="31">
        <v>2.6511830324007408</v>
      </c>
    </row>
    <row r="478" spans="107:108" ht="20.25" customHeight="1">
      <c r="DC478" s="31">
        <v>-0.63128308072572381</v>
      </c>
      <c r="DD478" s="31">
        <v>2.6568450952062226</v>
      </c>
    </row>
    <row r="479" spans="107:108" ht="20.25" customHeight="1">
      <c r="DC479" s="31">
        <v>-0.63176570011127453</v>
      </c>
      <c r="DD479" s="31">
        <v>2.6625071580117039</v>
      </c>
    </row>
    <row r="480" spans="107:108" ht="20.25" customHeight="1">
      <c r="DC480" s="31">
        <v>-0.63224741800365847</v>
      </c>
      <c r="DD480" s="31">
        <v>2.6681692208171857</v>
      </c>
    </row>
    <row r="481" spans="107:108" ht="20.25" customHeight="1">
      <c r="DC481" s="31">
        <v>-0.63272826273713745</v>
      </c>
      <c r="DD481" s="31">
        <v>2.673831283622667</v>
      </c>
    </row>
    <row r="482" spans="107:108" ht="20.25" customHeight="1">
      <c r="DC482" s="31">
        <v>-0.63320826264597241</v>
      </c>
      <c r="DD482" s="31">
        <v>2.6794933464281483</v>
      </c>
    </row>
    <row r="483" spans="107:108" ht="20.25" customHeight="1">
      <c r="DC483" s="31">
        <v>-0.63368744606442517</v>
      </c>
      <c r="DD483" s="31">
        <v>2.6851554092336301</v>
      </c>
    </row>
    <row r="484" spans="107:108" ht="20.25" customHeight="1">
      <c r="DC484" s="31">
        <v>-0.63416584132675735</v>
      </c>
      <c r="DD484" s="31">
        <v>2.6908174720391114</v>
      </c>
    </row>
    <row r="485" spans="107:108" ht="20.25" customHeight="1">
      <c r="DC485" s="31">
        <v>-0.63464347676723032</v>
      </c>
      <c r="DD485" s="31">
        <v>2.6964795348445927</v>
      </c>
    </row>
    <row r="486" spans="107:108" ht="20.25" customHeight="1">
      <c r="DC486" s="31">
        <v>-0.63512038072010546</v>
      </c>
      <c r="DD486" s="31">
        <v>2.7021415976500744</v>
      </c>
    </row>
    <row r="487" spans="107:108" ht="20.25" customHeight="1">
      <c r="DC487" s="31">
        <v>-0.6355965815196446</v>
      </c>
      <c r="DD487" s="31">
        <v>2.7078036604555558</v>
      </c>
    </row>
    <row r="488" spans="107:108" ht="20.25" customHeight="1">
      <c r="DC488" s="31">
        <v>-0.6360721075001089</v>
      </c>
      <c r="DD488" s="31">
        <v>2.7134657232610375</v>
      </c>
    </row>
    <row r="489" spans="107:108" ht="20.25" customHeight="1">
      <c r="DC489" s="31">
        <v>-0.63654698699576018</v>
      </c>
      <c r="DD489" s="31">
        <v>2.7191277860665188</v>
      </c>
    </row>
    <row r="490" spans="107:108" ht="20.25" customHeight="1">
      <c r="DC490" s="31">
        <v>-0.63702124834085982</v>
      </c>
      <c r="DD490" s="31">
        <v>2.7247898488720002</v>
      </c>
    </row>
    <row r="491" spans="107:108" ht="20.25" customHeight="1">
      <c r="DC491" s="31">
        <v>-0.63749491986966944</v>
      </c>
      <c r="DD491" s="31">
        <v>2.7304519116774819</v>
      </c>
    </row>
    <row r="492" spans="107:108" ht="20.25" customHeight="1">
      <c r="DC492" s="31">
        <v>-0.63796802991645019</v>
      </c>
      <c r="DD492" s="31">
        <v>2.7361139744829632</v>
      </c>
    </row>
    <row r="493" spans="107:108" ht="20.25" customHeight="1">
      <c r="DC493" s="31">
        <v>-0.63844060681546411</v>
      </c>
      <c r="DD493" s="31">
        <v>2.7417760372884445</v>
      </c>
    </row>
    <row r="494" spans="107:108" ht="20.25" customHeight="1">
      <c r="DC494" s="31">
        <v>-0.63891267890097214</v>
      </c>
      <c r="DD494" s="31">
        <v>2.7474381000939263</v>
      </c>
    </row>
    <row r="495" spans="107:108" ht="20.25" customHeight="1">
      <c r="DC495" s="31">
        <v>-0.63938427450723612</v>
      </c>
      <c r="DD495" s="31">
        <v>2.7531001628994076</v>
      </c>
    </row>
    <row r="496" spans="107:108" ht="20.25" customHeight="1">
      <c r="DC496" s="31">
        <v>-0.63985542196851808</v>
      </c>
      <c r="DD496" s="31">
        <v>2.7587622257048894</v>
      </c>
    </row>
    <row r="497" spans="107:108" ht="20.25" customHeight="1">
      <c r="DC497" s="31">
        <v>-0.64032614961907852</v>
      </c>
      <c r="DD497" s="31">
        <v>2.7644242885103707</v>
      </c>
    </row>
    <row r="498" spans="107:108" ht="20.25" customHeight="1">
      <c r="DC498" s="31">
        <v>-0.64079648579317927</v>
      </c>
      <c r="DD498" s="31">
        <v>2.770086351315852</v>
      </c>
    </row>
    <row r="499" spans="107:108" ht="20.25" customHeight="1">
      <c r="DC499" s="31">
        <v>-0.64126645882508215</v>
      </c>
      <c r="DD499" s="31">
        <v>2.7757484141213338</v>
      </c>
    </row>
    <row r="500" spans="107:108" ht="20.25" customHeight="1">
      <c r="DC500" s="31">
        <v>-0.64173609704904833</v>
      </c>
      <c r="DD500" s="31">
        <v>2.7814104769268151</v>
      </c>
    </row>
    <row r="501" spans="107:108" ht="20.25" customHeight="1">
      <c r="DC501" s="31">
        <v>-0.64220542879933962</v>
      </c>
      <c r="DD501" s="31">
        <v>2.7870725397322964</v>
      </c>
    </row>
    <row r="502" spans="107:108" ht="20.25" customHeight="1">
      <c r="DC502" s="31">
        <v>-0.64267448241021785</v>
      </c>
      <c r="DD502" s="31">
        <v>2.7927346025377782</v>
      </c>
    </row>
    <row r="503" spans="107:108" ht="20.25" customHeight="1">
      <c r="DC503" s="31">
        <v>-0.64314328621594352</v>
      </c>
      <c r="DD503" s="31">
        <v>2.7983966653432595</v>
      </c>
    </row>
    <row r="504" spans="107:108" ht="20.25" customHeight="1">
      <c r="DC504" s="31">
        <v>-0.64361186855077868</v>
      </c>
      <c r="DD504" s="31">
        <v>2.8040587281487412</v>
      </c>
    </row>
    <row r="505" spans="107:108" ht="20.25" customHeight="1">
      <c r="DC505" s="31">
        <v>-0.64408025774898536</v>
      </c>
      <c r="DD505" s="31">
        <v>2.8097207909542226</v>
      </c>
    </row>
    <row r="506" spans="107:108" ht="20.25" customHeight="1">
      <c r="DC506" s="31">
        <v>-0.64454848214482385</v>
      </c>
      <c r="DD506" s="31">
        <v>2.8153828537597039</v>
      </c>
    </row>
    <row r="507" spans="107:108" ht="20.25" customHeight="1">
      <c r="DC507" s="31">
        <v>-0.64501657007255686</v>
      </c>
      <c r="DD507" s="31">
        <v>2.8210449165651856</v>
      </c>
    </row>
    <row r="508" spans="107:108" ht="20.25" customHeight="1">
      <c r="DC508" s="31">
        <v>-0.64548454986644577</v>
      </c>
      <c r="DD508" s="31">
        <v>2.826706979370667</v>
      </c>
    </row>
    <row r="509" spans="107:108" ht="20.25" customHeight="1">
      <c r="DC509" s="31">
        <v>-0.64595244986075107</v>
      </c>
      <c r="DD509" s="31">
        <v>2.8323690421761483</v>
      </c>
    </row>
    <row r="510" spans="107:108" ht="20.25" customHeight="1">
      <c r="DC510" s="31">
        <v>-0.64642029838973503</v>
      </c>
      <c r="DD510" s="31">
        <v>2.83803110498163</v>
      </c>
    </row>
    <row r="511" spans="107:108" ht="20.25" customHeight="1">
      <c r="DC511" s="31">
        <v>-0.6468881237876597</v>
      </c>
      <c r="DD511" s="31">
        <v>2.8436931677871113</v>
      </c>
    </row>
    <row r="512" spans="107:108" ht="20.25" customHeight="1">
      <c r="DC512" s="31">
        <v>-0.64735595438878535</v>
      </c>
      <c r="DD512" s="31">
        <v>2.8493552305925931</v>
      </c>
    </row>
    <row r="513" spans="107:108" ht="20.25" customHeight="1">
      <c r="DC513" s="31">
        <v>-0.64782381852737447</v>
      </c>
      <c r="DD513" s="31">
        <v>2.8550172933980744</v>
      </c>
    </row>
    <row r="514" spans="107:108" ht="20.25" customHeight="1">
      <c r="DC514" s="31">
        <v>-0.64829174453768823</v>
      </c>
      <c r="DD514" s="31">
        <v>2.8606793562035557</v>
      </c>
    </row>
    <row r="515" spans="107:108" ht="20.25" customHeight="1">
      <c r="DC515" s="31">
        <v>-0.64875976075398778</v>
      </c>
      <c r="DD515" s="31">
        <v>2.8663414190090375</v>
      </c>
    </row>
    <row r="516" spans="107:108" ht="20.25" customHeight="1">
      <c r="DC516" s="31">
        <v>-0.64922789551053517</v>
      </c>
      <c r="DD516" s="31">
        <v>2.8720034818145188</v>
      </c>
    </row>
    <row r="517" spans="107:108" ht="20.25" customHeight="1">
      <c r="DC517" s="31">
        <v>-0.64969617714159156</v>
      </c>
      <c r="DD517" s="31">
        <v>2.8776655446200001</v>
      </c>
    </row>
    <row r="518" spans="107:108" ht="20.25" customHeight="1">
      <c r="DC518" s="31">
        <v>-0.65016463398141944</v>
      </c>
      <c r="DD518" s="31">
        <v>2.8833276074254819</v>
      </c>
    </row>
    <row r="519" spans="107:108" ht="20.25" customHeight="1">
      <c r="DC519" s="31">
        <v>-0.65063329436427864</v>
      </c>
      <c r="DD519" s="31">
        <v>2.8889896702309632</v>
      </c>
    </row>
    <row r="520" spans="107:108" ht="20.25" customHeight="1">
      <c r="DC520" s="31">
        <v>-0.65110218662443164</v>
      </c>
      <c r="DD520" s="31">
        <v>2.894651733036445</v>
      </c>
    </row>
    <row r="521" spans="107:108" ht="20.25" customHeight="1">
      <c r="DC521" s="31">
        <v>-0.65157133909614029</v>
      </c>
      <c r="DD521" s="31">
        <v>2.9003137958419263</v>
      </c>
    </row>
    <row r="522" spans="107:108" ht="20.25" customHeight="1">
      <c r="DC522" s="31">
        <v>-0.65204078011366506</v>
      </c>
      <c r="DD522" s="31">
        <v>2.9059758586474076</v>
      </c>
    </row>
    <row r="523" spans="107:108" ht="20.25" customHeight="1">
      <c r="DC523" s="31">
        <v>-0.65251053801126868</v>
      </c>
      <c r="DD523" s="31">
        <v>2.9116379214528894</v>
      </c>
    </row>
    <row r="524" spans="107:108" ht="20.25" customHeight="1">
      <c r="DC524" s="31">
        <v>-0.65298064112321141</v>
      </c>
      <c r="DD524" s="31">
        <v>2.9172999842583707</v>
      </c>
    </row>
    <row r="525" spans="107:108" ht="20.25" customHeight="1">
      <c r="DC525" s="31">
        <v>-0.65345111778375597</v>
      </c>
      <c r="DD525" s="31">
        <v>2.922962047063852</v>
      </c>
    </row>
    <row r="526" spans="107:108" ht="20.25" customHeight="1">
      <c r="DC526" s="31">
        <v>-0.65392199632716286</v>
      </c>
      <c r="DD526" s="31">
        <v>2.9286241098693337</v>
      </c>
    </row>
    <row r="527" spans="107:108" ht="20.25" customHeight="1">
      <c r="DC527" s="31">
        <v>-0.65439330508769389</v>
      </c>
      <c r="DD527" s="31">
        <v>2.9342861726748151</v>
      </c>
    </row>
    <row r="528" spans="107:108" ht="20.25" customHeight="1">
      <c r="DC528" s="31">
        <v>-0.65486507239961111</v>
      </c>
      <c r="DD528" s="31">
        <v>2.9399482354802964</v>
      </c>
    </row>
    <row r="529" spans="107:108" ht="20.25" customHeight="1">
      <c r="DC529" s="31">
        <v>-0.6553373265971757</v>
      </c>
      <c r="DD529" s="31">
        <v>2.9456102982857781</v>
      </c>
    </row>
    <row r="530" spans="107:108" ht="20.25" customHeight="1">
      <c r="DC530" s="31">
        <v>-0.65581009601464879</v>
      </c>
      <c r="DD530" s="31">
        <v>2.9512723610912595</v>
      </c>
    </row>
    <row r="531" spans="107:108" ht="20.25" customHeight="1">
      <c r="DC531" s="31">
        <v>-0.65628340898629245</v>
      </c>
      <c r="DD531" s="31">
        <v>2.9569344238967412</v>
      </c>
    </row>
    <row r="532" spans="107:108" ht="20.25" customHeight="1">
      <c r="DC532" s="31">
        <v>-0.65675729384636783</v>
      </c>
      <c r="DD532" s="31">
        <v>2.9625964867022225</v>
      </c>
    </row>
    <row r="533" spans="107:108" ht="20.25" customHeight="1">
      <c r="DC533" s="31">
        <v>-0.65723177892913653</v>
      </c>
      <c r="DD533" s="31">
        <v>2.9682585495077038</v>
      </c>
    </row>
    <row r="534" spans="107:108" ht="20.25" customHeight="1">
      <c r="DC534" s="31">
        <v>-0.65770689256886017</v>
      </c>
      <c r="DD534" s="31">
        <v>2.9739206123131856</v>
      </c>
    </row>
    <row r="535" spans="107:108" ht="20.25" customHeight="1">
      <c r="DC535" s="31">
        <v>-0.65818266309979967</v>
      </c>
      <c r="DD535" s="31">
        <v>2.9795826751186669</v>
      </c>
    </row>
    <row r="536" spans="107:108" ht="20.25" customHeight="1">
      <c r="DC536" s="31">
        <v>-0.65865911885621775</v>
      </c>
      <c r="DD536" s="31">
        <v>2.9852447379241482</v>
      </c>
    </row>
    <row r="537" spans="107:108" ht="20.25" customHeight="1">
      <c r="DC537" s="31">
        <v>-0.65913628817237491</v>
      </c>
      <c r="DD537" s="31">
        <v>2.99090680072963</v>
      </c>
    </row>
    <row r="538" spans="107:108" ht="20.25" customHeight="1">
      <c r="DC538" s="31">
        <v>-0.65961419938253318</v>
      </c>
      <c r="DD538" s="31">
        <v>2.9965688635351113</v>
      </c>
    </row>
    <row r="539" spans="107:108" ht="20.25" customHeight="1">
      <c r="DC539" s="31">
        <v>-0.66009288082095352</v>
      </c>
      <c r="DD539" s="31">
        <v>3.0022309263405931</v>
      </c>
    </row>
    <row r="540" spans="107:108" ht="20.25" customHeight="1">
      <c r="DC540" s="31">
        <v>-0.66057236082189774</v>
      </c>
      <c r="DD540" s="31">
        <v>3.0078929891460744</v>
      </c>
    </row>
    <row r="541" spans="107:108" ht="20.25" customHeight="1">
      <c r="DC541" s="31">
        <v>-0.66105266771962767</v>
      </c>
      <c r="DD541" s="31">
        <v>3.0135550519515557</v>
      </c>
    </row>
    <row r="542" spans="107:108" ht="20.25" customHeight="1">
      <c r="DC542" s="31">
        <v>-0.66153382984840403</v>
      </c>
      <c r="DD542" s="31">
        <v>3.0192171147570375</v>
      </c>
    </row>
    <row r="543" spans="107:108" ht="20.25" customHeight="1">
      <c r="DC543" s="31">
        <v>-0.66201587554248975</v>
      </c>
      <c r="DD543" s="31">
        <v>3.0248791775625188</v>
      </c>
    </row>
    <row r="544" spans="107:108" ht="20.25" customHeight="1">
      <c r="DC544" s="31">
        <v>-0.66249883313614444</v>
      </c>
      <c r="DD544" s="31">
        <v>3.0305412403680001</v>
      </c>
    </row>
    <row r="545" spans="107:108" ht="20.25" customHeight="1">
      <c r="DC545" s="31">
        <v>-0.66298273096363125</v>
      </c>
      <c r="DD545" s="31">
        <v>3.0362033031734819</v>
      </c>
    </row>
    <row r="546" spans="107:108" ht="20.25" customHeight="1">
      <c r="DC546" s="31">
        <v>-0.66346759735921113</v>
      </c>
      <c r="DD546" s="31">
        <v>3.0418653659789632</v>
      </c>
    </row>
    <row r="547" spans="107:108" ht="20.25" customHeight="1">
      <c r="DC547" s="31">
        <v>-0.66395346065714522</v>
      </c>
      <c r="DD547" s="31">
        <v>3.0475274287844449</v>
      </c>
    </row>
    <row r="548" spans="107:108" ht="20.25" customHeight="1">
      <c r="DC548" s="31">
        <v>-0.66444034919169581</v>
      </c>
      <c r="DD548" s="31">
        <v>3.0531894915899263</v>
      </c>
    </row>
    <row r="549" spans="107:108" ht="20.25" customHeight="1">
      <c r="DC549" s="31">
        <v>-0.66492829129712316</v>
      </c>
      <c r="DD549" s="31">
        <v>3.0588515543954076</v>
      </c>
    </row>
    <row r="550" spans="107:108" ht="20.25" customHeight="1">
      <c r="DC550" s="31">
        <v>-0.66541731530768977</v>
      </c>
      <c r="DD550" s="31">
        <v>3.0645136172008893</v>
      </c>
    </row>
    <row r="551" spans="107:108" ht="20.25" customHeight="1">
      <c r="DC551" s="31">
        <v>-0.66590744955765746</v>
      </c>
      <c r="DD551" s="31">
        <v>3.0701756800063706</v>
      </c>
    </row>
    <row r="552" spans="107:108" ht="20.25" customHeight="1">
      <c r="DC552" s="31">
        <v>-0.66639872238128628</v>
      </c>
      <c r="DD552" s="31">
        <v>3.075837742811852</v>
      </c>
    </row>
    <row r="553" spans="107:108" ht="20.25" customHeight="1">
      <c r="DC553" s="31">
        <v>-0.66689116211283894</v>
      </c>
      <c r="DD553" s="31">
        <v>3.0814998056173337</v>
      </c>
    </row>
    <row r="554" spans="107:108" ht="20.25" customHeight="1">
      <c r="DC554" s="31">
        <v>-0.66738479708657705</v>
      </c>
      <c r="DD554" s="31">
        <v>3.087161868422815</v>
      </c>
    </row>
    <row r="555" spans="107:108" ht="20.25" customHeight="1">
      <c r="DC555" s="31">
        <v>-0.66787965563676155</v>
      </c>
      <c r="DD555" s="31">
        <v>3.0928239312282968</v>
      </c>
    </row>
    <row r="556" spans="107:108" ht="20.25" customHeight="1">
      <c r="DC556" s="31">
        <v>-0.66837576609765426</v>
      </c>
      <c r="DD556" s="31">
        <v>3.0984859940337781</v>
      </c>
    </row>
    <row r="557" spans="107:108" ht="20.25" customHeight="1">
      <c r="DC557" s="31">
        <v>-0.66887315680351633</v>
      </c>
      <c r="DD557" s="31">
        <v>3.1041480568392594</v>
      </c>
    </row>
    <row r="558" spans="107:108" ht="20.25" customHeight="1">
      <c r="DC558" s="31">
        <v>-0.66937185608860961</v>
      </c>
      <c r="DD558" s="31">
        <v>3.1098101196447412</v>
      </c>
    </row>
    <row r="559" spans="107:108" ht="20.25" customHeight="1">
      <c r="DC559" s="31">
        <v>-0.66987189228719612</v>
      </c>
      <c r="DD559" s="31">
        <v>3.1154721824502225</v>
      </c>
    </row>
    <row r="560" spans="107:108" ht="20.25" customHeight="1">
      <c r="DC560" s="31">
        <v>-0.67037329373353594</v>
      </c>
      <c r="DD560" s="31">
        <v>3.1211342452557038</v>
      </c>
    </row>
    <row r="561" spans="107:108" ht="20.25" customHeight="1">
      <c r="DC561" s="31">
        <v>-0.67087608876189198</v>
      </c>
      <c r="DD561" s="31">
        <v>3.1267963080611856</v>
      </c>
    </row>
    <row r="562" spans="107:108" ht="20.25" customHeight="1">
      <c r="DC562" s="31">
        <v>-0.67138030570652496</v>
      </c>
      <c r="DD562" s="31">
        <v>3.1324583708666669</v>
      </c>
    </row>
    <row r="563" spans="107:108" ht="20.25" customHeight="1">
      <c r="DC563" s="31">
        <v>-0.67188597290169605</v>
      </c>
      <c r="DD563" s="31">
        <v>3.1381204336721487</v>
      </c>
    </row>
    <row r="564" spans="107:108" ht="20.25" customHeight="1">
      <c r="DC564" s="31">
        <v>-0.67239311868166796</v>
      </c>
      <c r="DD564" s="31">
        <v>3.14378249647763</v>
      </c>
    </row>
    <row r="565" spans="107:108" ht="20.25" customHeight="1">
      <c r="DC565" s="31">
        <v>-0.6729017713807014</v>
      </c>
      <c r="DD565" s="31">
        <v>3.1494445592831113</v>
      </c>
    </row>
    <row r="566" spans="107:108" ht="20.25" customHeight="1">
      <c r="DC566" s="31">
        <v>-0.67341195933305842</v>
      </c>
      <c r="DD566" s="31">
        <v>3.155106622088593</v>
      </c>
    </row>
    <row r="567" spans="107:108" ht="20.25" customHeight="1">
      <c r="DC567" s="31">
        <v>-0.67392371087299974</v>
      </c>
      <c r="DD567" s="31">
        <v>3.1607686848940744</v>
      </c>
    </row>
    <row r="568" spans="107:108" ht="20.25" customHeight="1">
      <c r="DC568" s="31">
        <v>-0.6744370543347874</v>
      </c>
      <c r="DD568" s="31">
        <v>3.1664307476995557</v>
      </c>
    </row>
    <row r="569" spans="107:108" ht="20.25" customHeight="1">
      <c r="DC569" s="31">
        <v>-0.67495201805268301</v>
      </c>
      <c r="DD569" s="31">
        <v>3.1720928105050374</v>
      </c>
    </row>
    <row r="570" spans="107:108" ht="20.25" customHeight="1">
      <c r="DC570" s="31">
        <v>-0.67546863036094729</v>
      </c>
      <c r="DD570" s="31">
        <v>3.1777548733105188</v>
      </c>
    </row>
    <row r="571" spans="107:108" ht="20.25" customHeight="1">
      <c r="DC571" s="31">
        <v>-0.67598691959384316</v>
      </c>
      <c r="DD571" s="31">
        <v>3.1834169361160005</v>
      </c>
    </row>
    <row r="572" spans="107:108" ht="20.25" customHeight="1">
      <c r="DC572" s="31">
        <v>-0.67650691408563091</v>
      </c>
      <c r="DD572" s="31">
        <v>3.1890789989214818</v>
      </c>
    </row>
    <row r="573" spans="107:108" ht="20.25" customHeight="1">
      <c r="DC573" s="31">
        <v>-0.67702864217057213</v>
      </c>
      <c r="DD573" s="31">
        <v>3.1947410617269631</v>
      </c>
    </row>
    <row r="574" spans="107:108" ht="20.25" customHeight="1">
      <c r="DC574" s="31">
        <v>-0.67755213218292909</v>
      </c>
      <c r="DD574" s="31">
        <v>3.2004031245324449</v>
      </c>
    </row>
    <row r="575" spans="107:108" ht="20.25" customHeight="1">
      <c r="DC575" s="31">
        <v>-0.67807741245696251</v>
      </c>
      <c r="DD575" s="31">
        <v>3.2060651873379262</v>
      </c>
    </row>
    <row r="576" spans="107:108" ht="20.25" customHeight="1">
      <c r="DC576" s="31">
        <v>-0.67860451132693467</v>
      </c>
      <c r="DD576" s="31">
        <v>3.2117272501434075</v>
      </c>
    </row>
    <row r="577" spans="107:108" ht="20.25" customHeight="1">
      <c r="DC577" s="31">
        <v>-0.67913345712710649</v>
      </c>
      <c r="DD577" s="31">
        <v>3.2173893129488893</v>
      </c>
    </row>
    <row r="578" spans="107:108" ht="20.25" customHeight="1">
      <c r="DC578" s="31">
        <v>-0.67966427819173914</v>
      </c>
      <c r="DD578" s="31">
        <v>3.2230513757543706</v>
      </c>
    </row>
    <row r="579" spans="107:108" ht="20.25" customHeight="1">
      <c r="DC579" s="31">
        <v>-0.68019700285509532</v>
      </c>
      <c r="DD579" s="31">
        <v>3.2287134385598524</v>
      </c>
    </row>
    <row r="580" spans="107:108" ht="20.25" customHeight="1">
      <c r="DC580" s="31">
        <v>-0.68073165945143577</v>
      </c>
      <c r="DD580" s="31">
        <v>3.2343755013653337</v>
      </c>
    </row>
    <row r="581" spans="107:108" ht="20.25" customHeight="1">
      <c r="DC581" s="31">
        <v>-0.68126827631502207</v>
      </c>
      <c r="DD581" s="31">
        <v>3.240037564170815</v>
      </c>
    </row>
    <row r="582" spans="107:108" ht="20.25" customHeight="1">
      <c r="DC582" s="31">
        <v>-0.68180688178011539</v>
      </c>
      <c r="DD582" s="31">
        <v>3.2456996269762968</v>
      </c>
    </row>
    <row r="583" spans="107:108" ht="20.25" customHeight="1">
      <c r="DC583" s="31">
        <v>-0.68234750418097778</v>
      </c>
      <c r="DD583" s="31">
        <v>3.2513616897817781</v>
      </c>
    </row>
    <row r="584" spans="107:108" ht="20.25" customHeight="1">
      <c r="DC584" s="31">
        <v>-0.68289017185187084</v>
      </c>
      <c r="DD584" s="31">
        <v>3.2570237525872594</v>
      </c>
    </row>
    <row r="585" spans="107:108" ht="20.25" customHeight="1">
      <c r="DC585" s="31">
        <v>-0.68343491312705573</v>
      </c>
      <c r="DD585" s="31">
        <v>3.2626858153927412</v>
      </c>
    </row>
    <row r="586" spans="107:108" ht="20.25" customHeight="1">
      <c r="DC586" s="31">
        <v>-0.68398175634079428</v>
      </c>
      <c r="DD586" s="31">
        <v>3.2683478781982225</v>
      </c>
    </row>
    <row r="587" spans="107:108" ht="20.25" customHeight="1">
      <c r="DC587" s="31">
        <v>-0.68453072982734742</v>
      </c>
      <c r="DD587" s="31">
        <v>3.2740099410037042</v>
      </c>
    </row>
    <row r="588" spans="107:108" ht="20.25" customHeight="1">
      <c r="DC588" s="31">
        <v>-0.68508186192097698</v>
      </c>
      <c r="DD588" s="31">
        <v>3.2796720038091856</v>
      </c>
    </row>
    <row r="589" spans="107:108" ht="20.25" customHeight="1">
      <c r="DC589" s="31">
        <v>-0.68563518095594478</v>
      </c>
      <c r="DD589" s="31">
        <v>3.2853340666146669</v>
      </c>
    </row>
    <row r="590" spans="107:108" ht="20.25" customHeight="1">
      <c r="DC590" s="31">
        <v>-0.68619071526651132</v>
      </c>
      <c r="DD590" s="31">
        <v>3.2909961294201486</v>
      </c>
    </row>
    <row r="591" spans="107:108" ht="20.25" customHeight="1">
      <c r="DC591" s="31">
        <v>-0.68674849318693998</v>
      </c>
      <c r="DD591" s="31">
        <v>3.2966581922256299</v>
      </c>
    </row>
    <row r="592" spans="107:108" ht="20.25" customHeight="1">
      <c r="DC592" s="31">
        <v>-0.68730854305149036</v>
      </c>
      <c r="DD592" s="31">
        <v>3.3023202550311113</v>
      </c>
    </row>
    <row r="593" spans="107:108" ht="20.25" customHeight="1">
      <c r="DC593" s="31">
        <v>-0.68787089319442518</v>
      </c>
      <c r="DD593" s="31">
        <v>3.307982317836593</v>
      </c>
    </row>
    <row r="594" spans="107:108" ht="20.25" customHeight="1">
      <c r="DC594" s="31">
        <v>-0.68843557195000493</v>
      </c>
      <c r="DD594" s="31">
        <v>3.3136443806420743</v>
      </c>
    </row>
    <row r="595" spans="107:108" ht="20.25" customHeight="1">
      <c r="DC595" s="31">
        <v>-0.68900260765249211</v>
      </c>
      <c r="DD595" s="31">
        <v>3.3193064434475557</v>
      </c>
    </row>
    <row r="596" spans="107:108" ht="20.25" customHeight="1">
      <c r="DC596" s="31">
        <v>-0.68957202863614764</v>
      </c>
      <c r="DD596" s="31">
        <v>3.3249685062530374</v>
      </c>
    </row>
    <row r="597" spans="107:108" ht="20.25" customHeight="1">
      <c r="DC597" s="31">
        <v>-0.6901438632352338</v>
      </c>
      <c r="DD597" s="31">
        <v>3.3306305690585187</v>
      </c>
    </row>
    <row r="598" spans="107:108" ht="20.25" customHeight="1">
      <c r="DC598" s="31">
        <v>-0.69071813978401086</v>
      </c>
      <c r="DD598" s="31">
        <v>3.3362926318640005</v>
      </c>
    </row>
    <row r="599" spans="107:108" ht="20.25" customHeight="1">
      <c r="DC599" s="31">
        <v>-0.69129488661674132</v>
      </c>
      <c r="DD599" s="31">
        <v>3.3419546946694818</v>
      </c>
    </row>
    <row r="600" spans="107:108" ht="20.25" customHeight="1">
      <c r="DC600" s="31">
        <v>-0.69187413206768678</v>
      </c>
      <c r="DD600" s="31">
        <v>3.3476167574749631</v>
      </c>
    </row>
    <row r="601" spans="107:108" ht="20.25" customHeight="1">
      <c r="DC601" s="31">
        <v>-0.6924559044711075</v>
      </c>
      <c r="DD601" s="31">
        <v>3.3532788202804449</v>
      </c>
    </row>
    <row r="602" spans="107:108" ht="20.25" customHeight="1">
      <c r="DC602" s="31">
        <v>-0.69304023216126642</v>
      </c>
      <c r="DD602" s="31">
        <v>3.3589408830859262</v>
      </c>
    </row>
    <row r="603" spans="107:108" ht="20.25" customHeight="1">
      <c r="DC603" s="31">
        <v>-0.69362714347242382</v>
      </c>
      <c r="DD603" s="31">
        <v>3.3646029458914075</v>
      </c>
    </row>
    <row r="604" spans="107:108" ht="20.25" customHeight="1">
      <c r="DC604" s="31">
        <v>-0.69421666673884286</v>
      </c>
      <c r="DD604" s="31">
        <v>3.3702650086968893</v>
      </c>
    </row>
    <row r="605" spans="107:108" ht="20.25" customHeight="1">
      <c r="DC605" s="31">
        <v>-0.69480883029478335</v>
      </c>
      <c r="DD605" s="31">
        <v>3.3759270715023706</v>
      </c>
    </row>
    <row r="606" spans="107:108" ht="20.25" customHeight="1">
      <c r="DC606" s="31">
        <v>-0.69540366247450736</v>
      </c>
      <c r="DD606" s="31">
        <v>3.3815891343078524</v>
      </c>
    </row>
    <row r="607" spans="107:108" ht="20.25" customHeight="1">
      <c r="DC607" s="31">
        <v>-0.69600119161227691</v>
      </c>
      <c r="DD607" s="31">
        <v>3.3872511971133337</v>
      </c>
    </row>
    <row r="608" spans="107:108" ht="20.25" customHeight="1">
      <c r="DC608" s="31">
        <v>-0.69660144604235297</v>
      </c>
      <c r="DD608" s="31">
        <v>3.392913259918815</v>
      </c>
    </row>
    <row r="609" spans="107:108" ht="20.25" customHeight="1">
      <c r="DC609" s="31">
        <v>-0.69720445409899778</v>
      </c>
      <c r="DD609" s="31">
        <v>3.3985753227242967</v>
      </c>
    </row>
    <row r="610" spans="107:108" ht="20.25" customHeight="1">
      <c r="DC610" s="31">
        <v>-0.69781024411647163</v>
      </c>
      <c r="DD610" s="31">
        <v>3.4042373855297781</v>
      </c>
    </row>
    <row r="611" spans="107:108" ht="20.25" customHeight="1">
      <c r="DC611" s="31">
        <v>-0.69841884442903679</v>
      </c>
      <c r="DD611" s="31">
        <v>3.4098994483352594</v>
      </c>
    </row>
    <row r="612" spans="107:108" ht="20.25" customHeight="1">
      <c r="DC612" s="31">
        <v>-0.69903028337095485</v>
      </c>
      <c r="DD612" s="31">
        <v>3.4155615111407411</v>
      </c>
    </row>
    <row r="613" spans="107:108" ht="20.25" customHeight="1">
      <c r="DC613" s="31">
        <v>-0.69964458927648676</v>
      </c>
      <c r="DD613" s="31">
        <v>3.4212235739462225</v>
      </c>
    </row>
    <row r="614" spans="107:108" ht="20.25" customHeight="1">
      <c r="DC614" s="31">
        <v>-0.70026179047989434</v>
      </c>
      <c r="DD614" s="31">
        <v>3.4268856367517042</v>
      </c>
    </row>
    <row r="615" spans="107:108" ht="20.25" customHeight="1">
      <c r="DC615" s="31">
        <v>-0.70088191531544008</v>
      </c>
      <c r="DD615" s="31">
        <v>3.4325476995571855</v>
      </c>
    </row>
    <row r="616" spans="107:108" ht="20.25" customHeight="1">
      <c r="DC616" s="31">
        <v>-0.70150499211738382</v>
      </c>
      <c r="DD616" s="31">
        <v>3.4382097623626668</v>
      </c>
    </row>
    <row r="617" spans="107:108" ht="20.25" customHeight="1">
      <c r="DC617" s="31">
        <v>-0.70213104921998848</v>
      </c>
      <c r="DD617" s="31">
        <v>3.4438718251681486</v>
      </c>
    </row>
    <row r="618" spans="107:108" ht="20.25" customHeight="1">
      <c r="DC618" s="31">
        <v>-0.70276011495751434</v>
      </c>
      <c r="DD618" s="31">
        <v>3.4495338879736299</v>
      </c>
    </row>
    <row r="619" spans="107:108" ht="20.25" customHeight="1">
      <c r="DC619" s="31">
        <v>-0.70339221766422344</v>
      </c>
      <c r="DD619" s="31">
        <v>3.4551959507791112</v>
      </c>
    </row>
    <row r="620" spans="107:108" ht="20.25" customHeight="1">
      <c r="DC620" s="31">
        <v>-0.70402738567437761</v>
      </c>
      <c r="DD620" s="31">
        <v>3.460858013584593</v>
      </c>
    </row>
    <row r="621" spans="107:108" ht="20.25" customHeight="1">
      <c r="DC621" s="31">
        <v>-0.7046656473222378</v>
      </c>
      <c r="DD621" s="31">
        <v>3.4665200763900743</v>
      </c>
    </row>
    <row r="622" spans="107:108" ht="20.25" customHeight="1">
      <c r="DC622" s="31">
        <v>-0.7053070309420667</v>
      </c>
      <c r="DD622" s="31">
        <v>3.4721821391955561</v>
      </c>
    </row>
    <row r="623" spans="107:108" ht="20.25" customHeight="1">
      <c r="DC623" s="31">
        <v>-0.70595156486812394</v>
      </c>
      <c r="DD623" s="31">
        <v>3.4778442020010374</v>
      </c>
    </row>
    <row r="624" spans="107:108" ht="20.25" customHeight="1">
      <c r="DC624" s="31">
        <v>-0.70659927743467288</v>
      </c>
      <c r="DD624" s="31">
        <v>3.4835062648065187</v>
      </c>
    </row>
    <row r="625" spans="107:108" ht="20.25" customHeight="1">
      <c r="DC625" s="31">
        <v>-0.70725019697597336</v>
      </c>
      <c r="DD625" s="31">
        <v>3.4891683276120005</v>
      </c>
    </row>
    <row r="626" spans="107:108" ht="20.25" customHeight="1">
      <c r="DC626" s="31">
        <v>-0.70790435182628808</v>
      </c>
      <c r="DD626" s="31">
        <v>3.4948303904174818</v>
      </c>
    </row>
    <row r="627" spans="107:108" ht="20.25" customHeight="1">
      <c r="DC627" s="31">
        <v>-0.70856177031987844</v>
      </c>
      <c r="DD627" s="31">
        <v>3.5004924532229631</v>
      </c>
    </row>
    <row r="628" spans="107:108" ht="20.25" customHeight="1">
      <c r="DC628" s="31">
        <v>-0.70922248079100536</v>
      </c>
      <c r="DD628" s="31">
        <v>3.5061545160284449</v>
      </c>
    </row>
    <row r="629" spans="107:108" ht="20.25" customHeight="1">
      <c r="DC629" s="31">
        <v>-0.7098865115739309</v>
      </c>
      <c r="DD629" s="31">
        <v>3.5118165788339262</v>
      </c>
    </row>
    <row r="630" spans="107:108" ht="20.25" customHeight="1">
      <c r="DC630" s="31">
        <v>-0.71055389100291644</v>
      </c>
      <c r="DD630" s="31">
        <v>3.5174786416394079</v>
      </c>
    </row>
    <row r="631" spans="107:108" ht="20.25" customHeight="1">
      <c r="DC631" s="31">
        <v>-0.71122464741222291</v>
      </c>
      <c r="DD631" s="31">
        <v>3.5231407044448892</v>
      </c>
    </row>
    <row r="632" spans="107:108" ht="20.25" customHeight="1">
      <c r="DC632" s="31">
        <v>-0.71189880913611303</v>
      </c>
      <c r="DD632" s="31">
        <v>3.5288027672503706</v>
      </c>
    </row>
    <row r="633" spans="107:108" ht="20.25" customHeight="1">
      <c r="DC633" s="31">
        <v>-0.71257640450884729</v>
      </c>
      <c r="DD633" s="31">
        <v>3.5344648300558523</v>
      </c>
    </row>
    <row r="634" spans="107:108" ht="20.25" customHeight="1">
      <c r="DC634" s="31">
        <v>-0.71325746186468753</v>
      </c>
      <c r="DD634" s="31">
        <v>3.5401268928613336</v>
      </c>
    </row>
    <row r="635" spans="107:108" ht="20.25" customHeight="1">
      <c r="DC635" s="31">
        <v>-0.71394200953789511</v>
      </c>
      <c r="DD635" s="31">
        <v>3.545788955666815</v>
      </c>
    </row>
    <row r="636" spans="107:108" ht="20.25" customHeight="1">
      <c r="DC636" s="31">
        <v>-0.71463007586273164</v>
      </c>
      <c r="DD636" s="31">
        <v>3.5514510184722967</v>
      </c>
    </row>
    <row r="637" spans="107:108" ht="20.25" customHeight="1">
      <c r="DC637" s="31">
        <v>-0.71532168917345895</v>
      </c>
      <c r="DD637" s="31">
        <v>3.557113081277778</v>
      </c>
    </row>
    <row r="638" spans="107:108" ht="20.25" customHeight="1">
      <c r="DC638" s="31">
        <v>-0.7160168778043382</v>
      </c>
      <c r="DD638" s="31">
        <v>3.5627751440832598</v>
      </c>
    </row>
    <row r="639" spans="107:108" ht="20.25" customHeight="1">
      <c r="DC639" s="31">
        <v>-0.716715670089631</v>
      </c>
      <c r="DD639" s="31">
        <v>3.5684372068887411</v>
      </c>
    </row>
    <row r="640" spans="107:108" ht="20.25" customHeight="1">
      <c r="DC640" s="31">
        <v>-0.71741809436359893</v>
      </c>
      <c r="DD640" s="31">
        <v>3.5740992696942224</v>
      </c>
    </row>
    <row r="641" spans="107:108" ht="20.25" customHeight="1">
      <c r="DC641" s="31">
        <v>-0.71812417896050296</v>
      </c>
      <c r="DD641" s="31">
        <v>3.5797613324997042</v>
      </c>
    </row>
    <row r="642" spans="107:108" ht="20.25" customHeight="1">
      <c r="DC642" s="31">
        <v>-0.71883395221460533</v>
      </c>
      <c r="DD642" s="31">
        <v>3.5854233953051855</v>
      </c>
    </row>
    <row r="643" spans="107:108" ht="20.25" customHeight="1">
      <c r="DC643" s="31">
        <v>-0.71954744246016678</v>
      </c>
      <c r="DD643" s="31">
        <v>3.5910854581106668</v>
      </c>
    </row>
    <row r="644" spans="107:108" ht="20.25" customHeight="1">
      <c r="DC644" s="31">
        <v>-0.72026467803145022</v>
      </c>
      <c r="DD644" s="31">
        <v>3.5967475209161486</v>
      </c>
    </row>
    <row r="645" spans="107:108" ht="20.25" customHeight="1">
      <c r="DC645" s="31">
        <v>-0.72098568726271595</v>
      </c>
      <c r="DD645" s="31">
        <v>3.6024095837216299</v>
      </c>
    </row>
    <row r="646" spans="107:108" ht="20.25" customHeight="1">
      <c r="DC646" s="31">
        <v>-0.72171049848822533</v>
      </c>
      <c r="DD646" s="31">
        <v>3.6080716465271117</v>
      </c>
    </row>
    <row r="647" spans="107:108" ht="20.25" customHeight="1">
      <c r="DC647" s="31">
        <v>-0.7224391400422413</v>
      </c>
      <c r="DD647" s="31">
        <v>3.613733709332593</v>
      </c>
    </row>
    <row r="648" spans="107:108" ht="20.25" customHeight="1">
      <c r="DC648" s="31">
        <v>-0.7231716402590237</v>
      </c>
      <c r="DD648" s="31">
        <v>3.6193957721380743</v>
      </c>
    </row>
    <row r="649" spans="107:108" ht="20.25" customHeight="1">
      <c r="DC649" s="31">
        <v>-0.72390802747283411</v>
      </c>
      <c r="DD649" s="31">
        <v>3.625057834943556</v>
      </c>
    </row>
    <row r="650" spans="107:108" ht="20.25" customHeight="1">
      <c r="DC650" s="31">
        <v>-0.72464833001793594</v>
      </c>
      <c r="DD650" s="31">
        <v>3.6307198977490374</v>
      </c>
    </row>
    <row r="651" spans="107:108" ht="20.25" customHeight="1">
      <c r="DC651" s="31">
        <v>-0.72539257622858855</v>
      </c>
      <c r="DD651" s="31">
        <v>3.6363819605545187</v>
      </c>
    </row>
    <row r="652" spans="107:108" ht="20.25" customHeight="1">
      <c r="DC652" s="31">
        <v>-0.72614079443905488</v>
      </c>
      <c r="DD652" s="31">
        <v>3.6420440233600004</v>
      </c>
    </row>
    <row r="653" spans="107:108" ht="20.25" customHeight="1">
      <c r="DC653" s="31">
        <v>-0.72689301298359565</v>
      </c>
      <c r="DD653" s="31">
        <v>3.6477060861654818</v>
      </c>
    </row>
    <row r="654" spans="107:108" ht="20.25" customHeight="1">
      <c r="DC654" s="31">
        <v>-0.72764926019647247</v>
      </c>
      <c r="DD654" s="31">
        <v>3.6533681489709631</v>
      </c>
    </row>
    <row r="655" spans="107:108" ht="20.25" customHeight="1">
      <c r="DC655" s="31">
        <v>-0.72840956441194693</v>
      </c>
      <c r="DD655" s="31">
        <v>3.6590302117764448</v>
      </c>
    </row>
    <row r="656" spans="107:108" ht="20.25" customHeight="1">
      <c r="DC656" s="31">
        <v>-0.72917395396428086</v>
      </c>
      <c r="DD656" s="31">
        <v>3.6646922745819261</v>
      </c>
    </row>
    <row r="657" spans="107:108" ht="20.25" customHeight="1">
      <c r="DC657" s="31">
        <v>-0.72994245718773521</v>
      </c>
      <c r="DD657" s="31">
        <v>3.6703543373874079</v>
      </c>
    </row>
    <row r="658" spans="107:108" ht="20.25" customHeight="1">
      <c r="DC658" s="31">
        <v>-0.73071510241657223</v>
      </c>
      <c r="DD658" s="31">
        <v>3.6760164001928892</v>
      </c>
    </row>
    <row r="659" spans="107:108" ht="20.25" customHeight="1">
      <c r="DC659" s="31">
        <v>-0.73149191798505264</v>
      </c>
      <c r="DD659" s="31">
        <v>3.6816784629983705</v>
      </c>
    </row>
    <row r="660" spans="107:108" ht="20.25" customHeight="1">
      <c r="DC660" s="31">
        <v>-0.73227293222743872</v>
      </c>
      <c r="DD660" s="31">
        <v>3.6873405258038523</v>
      </c>
    </row>
    <row r="661" spans="107:108" ht="20.25" customHeight="1">
      <c r="DC661" s="31">
        <v>-0.7330581734779914</v>
      </c>
      <c r="DD661" s="31">
        <v>3.6930025886093336</v>
      </c>
    </row>
    <row r="662" spans="107:108" ht="20.25" customHeight="1">
      <c r="DC662" s="31">
        <v>-0.73384767007097251</v>
      </c>
      <c r="DD662" s="31">
        <v>3.6986646514148149</v>
      </c>
    </row>
    <row r="663" spans="107:108" ht="20.25" customHeight="1">
      <c r="DC663" s="31">
        <v>-0.73464145034064299</v>
      </c>
      <c r="DD663" s="31">
        <v>3.7043267142202967</v>
      </c>
    </row>
    <row r="664" spans="107:108" ht="20.25" customHeight="1">
      <c r="DC664" s="31">
        <v>-0.73543954262126465</v>
      </c>
      <c r="DD664" s="31">
        <v>3.709988777025778</v>
      </c>
    </row>
    <row r="665" spans="107:108" ht="20.25" customHeight="1">
      <c r="DC665" s="31">
        <v>-0.73624197524709978</v>
      </c>
      <c r="DD665" s="31">
        <v>3.7156508398312598</v>
      </c>
    </row>
    <row r="666" spans="107:108" ht="20.25" customHeight="1">
      <c r="DC666" s="31">
        <v>-0.73704877655240886</v>
      </c>
      <c r="DD666" s="31">
        <v>3.7213129026367411</v>
      </c>
    </row>
    <row r="667" spans="107:108" ht="20.25" customHeight="1">
      <c r="DC667" s="31">
        <v>-0.73785997487145394</v>
      </c>
      <c r="DD667" s="31">
        <v>3.7269749654422224</v>
      </c>
    </row>
    <row r="668" spans="107:108" ht="20.25" customHeight="1">
      <c r="DC668" s="31">
        <v>-0.7386755985384964</v>
      </c>
      <c r="DD668" s="31">
        <v>3.7326370282477042</v>
      </c>
    </row>
    <row r="669" spans="107:108" ht="20.25" customHeight="1">
      <c r="DC669" s="31">
        <v>-0.73949567588779719</v>
      </c>
      <c r="DD669" s="31">
        <v>3.7382990910531855</v>
      </c>
    </row>
    <row r="670" spans="107:108" ht="20.25" customHeight="1">
      <c r="DC670" s="31">
        <v>-0.74032023525361901</v>
      </c>
      <c r="DD670" s="31">
        <v>3.7439611538586668</v>
      </c>
    </row>
    <row r="671" spans="107:108" ht="20.25" customHeight="1">
      <c r="DC671" s="31">
        <v>-0.74114930497022213</v>
      </c>
      <c r="DD671" s="31">
        <v>3.7496232166641486</v>
      </c>
    </row>
    <row r="672" spans="107:108" ht="20.25" customHeight="1">
      <c r="DC672" s="31">
        <v>-0.7419829133718695</v>
      </c>
      <c r="DD672" s="31">
        <v>3.7552852794696299</v>
      </c>
    </row>
    <row r="673" spans="107:108" ht="20.25" customHeight="1">
      <c r="DC673" s="31">
        <v>-0.74282108879282138</v>
      </c>
      <c r="DD673" s="31">
        <v>3.7609473422751116</v>
      </c>
    </row>
    <row r="674" spans="107:108" ht="20.25" customHeight="1">
      <c r="DC674" s="31">
        <v>-0.74366385956733916</v>
      </c>
      <c r="DD674" s="31">
        <v>3.7666094050805929</v>
      </c>
    </row>
    <row r="675" spans="107:108" ht="20.25" customHeight="1">
      <c r="DC675" s="31">
        <v>-0.74451125402968554</v>
      </c>
      <c r="DD675" s="31">
        <v>3.7722714678860743</v>
      </c>
    </row>
    <row r="676" spans="107:108" ht="20.25" customHeight="1">
      <c r="DC676" s="31">
        <v>-0.74536330051412059</v>
      </c>
      <c r="DD676" s="31">
        <v>3.777933530691556</v>
      </c>
    </row>
    <row r="677" spans="107:108" ht="20.25" customHeight="1">
      <c r="DC677" s="31">
        <v>-0.746220027354907</v>
      </c>
      <c r="DD677" s="31">
        <v>3.7835955934970373</v>
      </c>
    </row>
    <row r="678" spans="107:108" ht="20.25" customHeight="1">
      <c r="DC678" s="31">
        <v>-0.74708146288630595</v>
      </c>
      <c r="DD678" s="31">
        <v>3.7892576563025187</v>
      </c>
    </row>
    <row r="679" spans="107:108" ht="20.25" customHeight="1">
      <c r="DC679" s="31">
        <v>-0.74794763544257925</v>
      </c>
      <c r="DD679" s="31">
        <v>3.7949197191080004</v>
      </c>
    </row>
    <row r="680" spans="107:108" ht="20.25" customHeight="1">
      <c r="DC680" s="31">
        <v>-0.74881857335798763</v>
      </c>
      <c r="DD680" s="31">
        <v>3.8005817819134817</v>
      </c>
    </row>
    <row r="681" spans="107:108" ht="20.25" customHeight="1">
      <c r="DC681" s="31">
        <v>-0.7496943049667929</v>
      </c>
      <c r="DD681" s="31">
        <v>3.8062438447189635</v>
      </c>
    </row>
    <row r="682" spans="107:108" ht="20.25" customHeight="1">
      <c r="DC682" s="31">
        <v>-0.75057485860325668</v>
      </c>
      <c r="DD682" s="31">
        <v>3.8119059075244448</v>
      </c>
    </row>
    <row r="683" spans="107:108" ht="20.25" customHeight="1">
      <c r="DC683" s="31">
        <v>-0.75146026260164078</v>
      </c>
      <c r="DD683" s="31">
        <v>3.8175679703299261</v>
      </c>
    </row>
    <row r="684" spans="107:108" ht="20.25" customHeight="1">
      <c r="DC684" s="31">
        <v>-0.75235054529620593</v>
      </c>
      <c r="DD684" s="31">
        <v>3.8232300331354079</v>
      </c>
    </row>
    <row r="685" spans="107:108" ht="20.25" customHeight="1">
      <c r="DC685" s="31">
        <v>-0.75324573502121484</v>
      </c>
      <c r="DD685" s="31">
        <v>3.8288920959408892</v>
      </c>
    </row>
    <row r="686" spans="107:108" ht="20.25" customHeight="1">
      <c r="DC686" s="31">
        <v>-0.75414586011092755</v>
      </c>
      <c r="DD686" s="31">
        <v>3.8345541587463705</v>
      </c>
    </row>
    <row r="687" spans="107:108" ht="20.25" customHeight="1">
      <c r="DC687" s="31">
        <v>-0.755050948899607</v>
      </c>
      <c r="DD687" s="31">
        <v>3.8402162215518523</v>
      </c>
    </row>
    <row r="688" spans="107:108" ht="20.25" customHeight="1">
      <c r="DC688" s="31">
        <v>-0.75596102972151347</v>
      </c>
      <c r="DD688" s="31">
        <v>3.8458782843573336</v>
      </c>
    </row>
    <row r="689" spans="107:108" ht="20.25" customHeight="1">
      <c r="DC689" s="31">
        <v>-0.756876130910909</v>
      </c>
      <c r="DD689" s="31">
        <v>3.8515403471628153</v>
      </c>
    </row>
    <row r="690" spans="107:108" ht="20.25" customHeight="1">
      <c r="DC690" s="31">
        <v>-0.75779628080205608</v>
      </c>
      <c r="DD690" s="31">
        <v>3.8572024099682967</v>
      </c>
    </row>
    <row r="691" spans="107:108" ht="20.25" customHeight="1">
      <c r="DC691" s="31">
        <v>-0.7587215077292141</v>
      </c>
      <c r="DD691" s="31">
        <v>3.862864472773778</v>
      </c>
    </row>
    <row r="692" spans="107:108" ht="20.25" customHeight="1">
      <c r="DC692" s="31">
        <v>-0.75965184002664621</v>
      </c>
      <c r="DD692" s="31">
        <v>3.8685265355792597</v>
      </c>
    </row>
    <row r="693" spans="107:108" ht="20.25" customHeight="1">
      <c r="DC693" s="31">
        <v>-0.76058730602861357</v>
      </c>
      <c r="DD693" s="31">
        <v>3.8741885983847411</v>
      </c>
    </row>
    <row r="694" spans="107:108" ht="20.25" customHeight="1">
      <c r="DC694" s="31">
        <v>-0.76152793406937713</v>
      </c>
      <c r="DD694" s="31">
        <v>3.8798506611902224</v>
      </c>
    </row>
    <row r="695" spans="107:108" ht="20.25" customHeight="1">
      <c r="DC695" s="31">
        <v>-0.7624737524831996</v>
      </c>
      <c r="DD695" s="31">
        <v>3.8855127239957041</v>
      </c>
    </row>
    <row r="696" spans="107:108" ht="20.25" customHeight="1">
      <c r="DC696" s="31">
        <v>-0.76342478960434079</v>
      </c>
      <c r="DD696" s="31">
        <v>3.8911747868011854</v>
      </c>
    </row>
    <row r="697" spans="107:108" ht="20.25" customHeight="1">
      <c r="DC697" s="31">
        <v>-0.76438107376706388</v>
      </c>
      <c r="DD697" s="31">
        <v>3.8968368496066672</v>
      </c>
    </row>
    <row r="698" spans="107:108" ht="20.25" customHeight="1">
      <c r="DC698" s="31">
        <v>-0.76534263330562957</v>
      </c>
      <c r="DD698" s="31">
        <v>3.9024989124121485</v>
      </c>
    </row>
    <row r="699" spans="107:108" ht="20.25" customHeight="1">
      <c r="DC699" s="31">
        <v>-0.76630949655429881</v>
      </c>
      <c r="DD699" s="31">
        <v>3.9081609752176298</v>
      </c>
    </row>
    <row r="700" spans="107:108" ht="20.25" customHeight="1">
      <c r="DC700" s="31">
        <v>-0.76728169184733408</v>
      </c>
      <c r="DD700" s="31">
        <v>3.9138230380231116</v>
      </c>
    </row>
    <row r="701" spans="107:108" ht="20.25" customHeight="1">
      <c r="DC701" s="31">
        <v>-0.76825924751899699</v>
      </c>
      <c r="DD701" s="31">
        <v>3.9194851008285929</v>
      </c>
    </row>
    <row r="702" spans="107:108" ht="20.25" customHeight="1">
      <c r="DC702" s="31">
        <v>-0.76924219190354848</v>
      </c>
      <c r="DD702" s="31">
        <v>3.9251471636340742</v>
      </c>
    </row>
    <row r="703" spans="107:108" ht="20.25" customHeight="1">
      <c r="DC703" s="31">
        <v>-0.77023055333525015</v>
      </c>
      <c r="DD703" s="31">
        <v>3.930809226439556</v>
      </c>
    </row>
    <row r="704" spans="107:108" ht="20.25" customHeight="1">
      <c r="DC704" s="31">
        <v>-0.77122436014836337</v>
      </c>
      <c r="DD704" s="31">
        <v>3.9364712892450373</v>
      </c>
    </row>
    <row r="705" spans="107:108" ht="20.25" customHeight="1">
      <c r="DC705" s="31">
        <v>-0.77222364067714977</v>
      </c>
      <c r="DD705" s="31">
        <v>3.9421333520505191</v>
      </c>
    </row>
    <row r="706" spans="107:108" ht="20.25" customHeight="1">
      <c r="DC706" s="31">
        <v>-0.7732284232558716</v>
      </c>
      <c r="DD706" s="31">
        <v>3.9477954148560004</v>
      </c>
    </row>
    <row r="707" spans="107:108" ht="20.25" customHeight="1">
      <c r="DC707" s="31">
        <v>-0.77423873621878869</v>
      </c>
      <c r="DD707" s="31">
        <v>3.9534574776614817</v>
      </c>
    </row>
    <row r="708" spans="107:108" ht="20.25" customHeight="1">
      <c r="DC708" s="31">
        <v>-0.77525460790016465</v>
      </c>
      <c r="DD708" s="31">
        <v>3.9591195404669635</v>
      </c>
    </row>
    <row r="709" spans="107:108" ht="20.25" customHeight="1">
      <c r="DC709" s="31">
        <v>-0.77627606663425952</v>
      </c>
      <c r="DD709" s="31">
        <v>3.9647816032724448</v>
      </c>
    </row>
    <row r="710" spans="107:108" ht="20.25" customHeight="1">
      <c r="DC710" s="31">
        <v>-0.77730314075533513</v>
      </c>
      <c r="DD710" s="31">
        <v>3.9704436660779261</v>
      </c>
    </row>
    <row r="711" spans="107:108" ht="20.25" customHeight="1">
      <c r="DC711" s="31">
        <v>-0.77833585859765309</v>
      </c>
      <c r="DD711" s="31">
        <v>3.9761057288834079</v>
      </c>
    </row>
    <row r="712" spans="107:108" ht="20.25" customHeight="1">
      <c r="DC712" s="31">
        <v>-0.77937424849547476</v>
      </c>
      <c r="DD712" s="31">
        <v>3.9817677916888892</v>
      </c>
    </row>
    <row r="713" spans="107:108" ht="20.25" customHeight="1">
      <c r="DC713" s="31">
        <v>-0.78041833878306199</v>
      </c>
      <c r="DD713" s="31">
        <v>3.9874298544943709</v>
      </c>
    </row>
    <row r="714" spans="107:108" ht="20.25" customHeight="1">
      <c r="DC714" s="31">
        <v>-0.78146815779467615</v>
      </c>
      <c r="DD714" s="31">
        <v>3.9930919172998522</v>
      </c>
    </row>
    <row r="715" spans="107:108" ht="20.25" customHeight="1">
      <c r="DC715" s="31">
        <v>-0.78252373386457841</v>
      </c>
      <c r="DD715" s="31">
        <v>3.9987539801053336</v>
      </c>
    </row>
    <row r="716" spans="107:108" ht="20.25" customHeight="1">
      <c r="DC716" s="31">
        <v>-0.78358509532703058</v>
      </c>
      <c r="DD716" s="31">
        <v>4.0044160429108153</v>
      </c>
    </row>
    <row r="717" spans="107:108" ht="20.25" customHeight="1">
      <c r="DC717" s="31">
        <v>-0.78465227051629449</v>
      </c>
      <c r="DD717" s="31">
        <v>4.0100781057162962</v>
      </c>
    </row>
    <row r="718" spans="107:108" ht="20.25" customHeight="1">
      <c r="DC718" s="31">
        <v>-0.78572528776663109</v>
      </c>
      <c r="DD718" s="31">
        <v>4.015740168521778</v>
      </c>
    </row>
    <row r="719" spans="107:108" ht="20.25" customHeight="1">
      <c r="DC719" s="31">
        <v>-0.78680417541230196</v>
      </c>
      <c r="DD719" s="31">
        <v>4.0214022313272588</v>
      </c>
    </row>
    <row r="720" spans="107:108" ht="20.25" customHeight="1">
      <c r="DC720" s="31">
        <v>-0.78788896178756895</v>
      </c>
      <c r="DD720" s="31">
        <v>4.0270642941327406</v>
      </c>
    </row>
    <row r="721" spans="107:108" ht="20.25" customHeight="1">
      <c r="DC721" s="31">
        <v>-0.78897967522669321</v>
      </c>
      <c r="DD721" s="31">
        <v>4.0327263569382223</v>
      </c>
    </row>
    <row r="722" spans="107:108" ht="20.25" customHeight="1">
      <c r="DC722" s="31">
        <v>-0.79007634406393612</v>
      </c>
      <c r="DD722" s="31">
        <v>4.0383884197437032</v>
      </c>
    </row>
    <row r="723" spans="107:108" ht="20.25" customHeight="1">
      <c r="DC723" s="31">
        <v>-0.79117899663356017</v>
      </c>
      <c r="DD723" s="31">
        <v>4.044050482549185</v>
      </c>
    </row>
    <row r="724" spans="107:108" ht="20.25" customHeight="1">
      <c r="DC724" s="31">
        <v>-0.79228766126982542</v>
      </c>
      <c r="DD724" s="31">
        <v>4.0497125453546667</v>
      </c>
    </row>
    <row r="725" spans="107:108" ht="20.25" customHeight="1">
      <c r="DC725" s="31">
        <v>-0.79340236630699457</v>
      </c>
      <c r="DD725" s="31">
        <v>4.0553746081601476</v>
      </c>
    </row>
    <row r="726" spans="107:108" ht="20.25" customHeight="1">
      <c r="DC726" s="31">
        <v>-0.79452314007932878</v>
      </c>
      <c r="DD726" s="31">
        <v>4.0610366709656294</v>
      </c>
    </row>
    <row r="727" spans="107:108" ht="20.25" customHeight="1">
      <c r="DC727" s="31">
        <v>-0.79565001092108989</v>
      </c>
      <c r="DD727" s="31">
        <v>4.0666987337711111</v>
      </c>
    </row>
    <row r="728" spans="107:108" ht="20.25" customHeight="1">
      <c r="DC728" s="31">
        <v>-0.79678300716653905</v>
      </c>
      <c r="DD728" s="31">
        <v>4.0723607965765929</v>
      </c>
    </row>
    <row r="729" spans="107:108" ht="20.25" customHeight="1">
      <c r="DC729" s="31">
        <v>-0.79792215714993675</v>
      </c>
      <c r="DD729" s="31">
        <v>4.0780228593820738</v>
      </c>
    </row>
    <row r="730" spans="107:108" ht="20.25" customHeight="1">
      <c r="DC730" s="31">
        <v>-0.7990674892055466</v>
      </c>
      <c r="DD730" s="31">
        <v>4.0836849221875555</v>
      </c>
    </row>
    <row r="731" spans="107:108" ht="20.25" customHeight="1">
      <c r="DC731" s="31">
        <v>-0.80021903166762864</v>
      </c>
      <c r="DD731" s="31">
        <v>4.0893469849930373</v>
      </c>
    </row>
    <row r="732" spans="107:108" ht="20.25" customHeight="1">
      <c r="DC732" s="31">
        <v>-0.80137681287044427</v>
      </c>
      <c r="DD732" s="31">
        <v>4.0950090477985182</v>
      </c>
    </row>
    <row r="733" spans="107:108" ht="20.25" customHeight="1">
      <c r="DC733" s="31">
        <v>-0.80254086114825574</v>
      </c>
      <c r="DD733" s="31">
        <v>4.1006711106039999</v>
      </c>
    </row>
    <row r="734" spans="107:108" ht="20.25" customHeight="1">
      <c r="DC734" s="31">
        <v>-0.80371120483532466</v>
      </c>
      <c r="DD734" s="31">
        <v>4.1063331734094817</v>
      </c>
    </row>
    <row r="735" spans="107:108" ht="20.25" customHeight="1">
      <c r="DC735" s="31">
        <v>-0.80488787226591174</v>
      </c>
      <c r="DD735" s="31">
        <v>4.1119952362149625</v>
      </c>
    </row>
    <row r="736" spans="107:108" ht="20.25" customHeight="1">
      <c r="DC736" s="31">
        <v>-0.80607089177427904</v>
      </c>
      <c r="DD736" s="31">
        <v>4.1176572990204443</v>
      </c>
    </row>
    <row r="737" spans="107:108" ht="20.25" customHeight="1">
      <c r="DC737" s="31">
        <v>-0.80726029169468816</v>
      </c>
      <c r="DD737" s="31">
        <v>4.1233193618259261</v>
      </c>
    </row>
    <row r="738" spans="107:108" ht="20.25" customHeight="1">
      <c r="DC738" s="31">
        <v>-0.80845610036140025</v>
      </c>
      <c r="DD738" s="31">
        <v>4.1289814246314069</v>
      </c>
    </row>
    <row r="739" spans="107:108" ht="20.25" customHeight="1">
      <c r="DC739" s="31">
        <v>-0.80965834610867715</v>
      </c>
      <c r="DD739" s="31">
        <v>4.1346434874368887</v>
      </c>
    </row>
    <row r="740" spans="107:108" ht="20.25" customHeight="1">
      <c r="DC740" s="31">
        <v>-0.81086705727077912</v>
      </c>
      <c r="DD740" s="31">
        <v>4.1403055502423705</v>
      </c>
    </row>
    <row r="741" spans="107:108" ht="20.25" customHeight="1">
      <c r="DC741" s="31">
        <v>-0.81208226218196999</v>
      </c>
      <c r="DD741" s="31">
        <v>4.1459676130478513</v>
      </c>
    </row>
    <row r="742" spans="107:108" ht="20.25" customHeight="1">
      <c r="DC742" s="31">
        <v>-0.81330398917651048</v>
      </c>
      <c r="DD742" s="31">
        <v>4.1516296758533331</v>
      </c>
    </row>
    <row r="743" spans="107:108" ht="20.25" customHeight="1">
      <c r="DC743" s="31">
        <v>-0.81453226658866085</v>
      </c>
      <c r="DD743" s="31">
        <v>4.1572917386588149</v>
      </c>
    </row>
    <row r="744" spans="107:108" ht="20.25" customHeight="1">
      <c r="DC744" s="31">
        <v>-0.81576712275268337</v>
      </c>
      <c r="DD744" s="31">
        <v>4.1629538014642966</v>
      </c>
    </row>
    <row r="745" spans="107:108" ht="20.25" customHeight="1">
      <c r="DC745" s="31">
        <v>-0.81700858600283943</v>
      </c>
      <c r="DD745" s="31">
        <v>4.1686158642697775</v>
      </c>
    </row>
    <row r="746" spans="107:108" ht="20.25" customHeight="1">
      <c r="DC746" s="31">
        <v>-0.81825668467339108</v>
      </c>
      <c r="DD746" s="31">
        <v>4.1742779270752592</v>
      </c>
    </row>
    <row r="747" spans="107:108" ht="20.25" customHeight="1">
      <c r="DC747" s="31">
        <v>-0.81951144709859947</v>
      </c>
      <c r="DD747" s="31">
        <v>4.179939989880741</v>
      </c>
    </row>
    <row r="748" spans="107:108" ht="20.25" customHeight="1">
      <c r="DC748" s="31">
        <v>-0.82077290161272576</v>
      </c>
      <c r="DD748" s="31">
        <v>4.1856020526862219</v>
      </c>
    </row>
    <row r="749" spans="107:108" ht="20.25" customHeight="1">
      <c r="DC749" s="31">
        <v>-0.82204107655003178</v>
      </c>
      <c r="DD749" s="31">
        <v>4.1912641154917036</v>
      </c>
    </row>
    <row r="750" spans="107:108" ht="20.25" customHeight="1">
      <c r="DC750" s="31">
        <v>-0.82331600024477936</v>
      </c>
      <c r="DD750" s="31">
        <v>4.1969261782971854</v>
      </c>
    </row>
    <row r="751" spans="107:108" ht="20.25" customHeight="1">
      <c r="DC751" s="31">
        <v>-0.82459770103122965</v>
      </c>
      <c r="DD751" s="31">
        <v>4.2025882411026663</v>
      </c>
    </row>
    <row r="752" spans="107:108" ht="20.25" customHeight="1">
      <c r="DC752" s="31">
        <v>-0.82588620724364448</v>
      </c>
      <c r="DD752" s="31">
        <v>4.208250303908148</v>
      </c>
    </row>
    <row r="753" spans="107:108" ht="20.25" customHeight="1">
      <c r="DC753" s="31">
        <v>-0.82718154721628523</v>
      </c>
      <c r="DD753" s="31">
        <v>4.2139123667136298</v>
      </c>
    </row>
    <row r="754" spans="107:108" ht="20.25" customHeight="1">
      <c r="DC754" s="31">
        <v>-0.8284837492834124</v>
      </c>
      <c r="DD754" s="31">
        <v>4.2195744295191107</v>
      </c>
    </row>
    <row r="755" spans="107:108" ht="20.25" customHeight="1">
      <c r="DC755" s="31">
        <v>-0.82979284177928958</v>
      </c>
      <c r="DD755" s="31">
        <v>4.2252364923245924</v>
      </c>
    </row>
    <row r="756" spans="107:108" ht="20.25" customHeight="1">
      <c r="DC756" s="31">
        <v>-0.83110885303817639</v>
      </c>
      <c r="DD756" s="31">
        <v>4.2308985551300742</v>
      </c>
    </row>
    <row r="757" spans="107:108" ht="20.25" customHeight="1">
      <c r="DC757" s="31">
        <v>-0.83243181139433486</v>
      </c>
      <c r="DD757" s="31">
        <v>4.2365606179355551</v>
      </c>
    </row>
    <row r="758" spans="107:108" ht="20.25" customHeight="1">
      <c r="DC758" s="31">
        <v>-0.83376174518202706</v>
      </c>
      <c r="DD758" s="31">
        <v>4.2422226807410368</v>
      </c>
    </row>
    <row r="759" spans="107:108" ht="20.25" customHeight="1">
      <c r="DC759" s="31">
        <v>-0.83509868273551413</v>
      </c>
      <c r="DD759" s="31">
        <v>4.2478847435465186</v>
      </c>
    </row>
    <row r="760" spans="107:108" ht="20.25" customHeight="1">
      <c r="DC760" s="31">
        <v>-0.83644265238905724</v>
      </c>
      <c r="DD760" s="31">
        <v>4.2535468063520003</v>
      </c>
    </row>
    <row r="761" spans="107:108" ht="20.25" customHeight="1">
      <c r="DC761" s="31">
        <v>-0.83779368247691888</v>
      </c>
      <c r="DD761" s="31">
        <v>4.2592088691574812</v>
      </c>
    </row>
    <row r="762" spans="107:108" ht="20.25" customHeight="1">
      <c r="DC762" s="31">
        <v>-0.83915180133335887</v>
      </c>
      <c r="DD762" s="31">
        <v>4.264870931962963</v>
      </c>
    </row>
    <row r="763" spans="107:108" ht="20.25" customHeight="1">
      <c r="DC763" s="31">
        <v>-0.84051703729264016</v>
      </c>
      <c r="DD763" s="31">
        <v>4.2705329947684447</v>
      </c>
    </row>
    <row r="764" spans="107:108" ht="20.25" customHeight="1">
      <c r="DC764" s="31">
        <v>-0.84188941868902389</v>
      </c>
      <c r="DD764" s="31">
        <v>4.2761950575739256</v>
      </c>
    </row>
    <row r="765" spans="107:108" ht="20.25" customHeight="1">
      <c r="DC765" s="31">
        <v>-0.84326897385677213</v>
      </c>
      <c r="DD765" s="31">
        <v>4.2818571203794074</v>
      </c>
    </row>
    <row r="766" spans="107:108" ht="20.25" customHeight="1">
      <c r="DC766" s="31">
        <v>-0.84465573113014647</v>
      </c>
      <c r="DD766" s="31">
        <v>4.2875191831848891</v>
      </c>
    </row>
    <row r="767" spans="107:108" ht="20.25" customHeight="1">
      <c r="DC767" s="31">
        <v>-0.84604971884340541</v>
      </c>
      <c r="DD767" s="31">
        <v>4.29318124599037</v>
      </c>
    </row>
    <row r="768" spans="107:108" ht="20.25" customHeight="1">
      <c r="DC768" s="31">
        <v>-0.84745096533081454</v>
      </c>
      <c r="DD768" s="31">
        <v>4.2988433087958517</v>
      </c>
    </row>
    <row r="769" spans="107:108" ht="20.25" customHeight="1">
      <c r="DC769" s="31">
        <v>-0.8488594989266337</v>
      </c>
      <c r="DD769" s="31">
        <v>4.3045053716013335</v>
      </c>
    </row>
    <row r="770" spans="107:108" ht="20.25" customHeight="1">
      <c r="DC770" s="31">
        <v>-0.85027534796512361</v>
      </c>
      <c r="DD770" s="31">
        <v>4.3101674344068144</v>
      </c>
    </row>
    <row r="771" spans="107:108" ht="20.25" customHeight="1">
      <c r="DC771" s="31">
        <v>-0.8516985407805463</v>
      </c>
      <c r="DD771" s="31">
        <v>4.3158294972122961</v>
      </c>
    </row>
    <row r="772" spans="107:108" ht="20.25" customHeight="1">
      <c r="DC772" s="31">
        <v>-0.85312910570716516</v>
      </c>
      <c r="DD772" s="31">
        <v>4.3214915600177779</v>
      </c>
    </row>
    <row r="773" spans="107:108" ht="20.25" customHeight="1">
      <c r="DC773" s="31">
        <v>-0.85456707107923824</v>
      </c>
      <c r="DD773" s="31">
        <v>4.3271536228232588</v>
      </c>
    </row>
    <row r="774" spans="107:108" ht="20.25" customHeight="1">
      <c r="DC774" s="31">
        <v>-0.85601246523102936</v>
      </c>
      <c r="DD774" s="31">
        <v>4.3328156856287405</v>
      </c>
    </row>
    <row r="775" spans="107:108" ht="20.25" customHeight="1">
      <c r="DC775" s="31">
        <v>-0.85746531649680013</v>
      </c>
      <c r="DD775" s="31">
        <v>4.3384777484342223</v>
      </c>
    </row>
    <row r="776" spans="107:108" ht="20.25" customHeight="1">
      <c r="DC776" s="31">
        <v>-0.85892565321081127</v>
      </c>
      <c r="DD776" s="31">
        <v>4.3441398112397041</v>
      </c>
    </row>
    <row r="777" spans="107:108" ht="20.25" customHeight="1">
      <c r="DC777" s="31">
        <v>-0.86039350370732437</v>
      </c>
      <c r="DD777" s="31">
        <v>4.3498018740451849</v>
      </c>
    </row>
    <row r="778" spans="107:108" ht="20.25" customHeight="1">
      <c r="DC778" s="31">
        <v>-0.8618688963206006</v>
      </c>
      <c r="DD778" s="31">
        <v>4.3554639368506667</v>
      </c>
    </row>
    <row r="779" spans="107:108" ht="20.25" customHeight="1">
      <c r="DC779" s="31">
        <v>-0.863351859384902</v>
      </c>
      <c r="DD779" s="31">
        <v>4.3611259996561484</v>
      </c>
    </row>
    <row r="780" spans="107:108" ht="20.25" customHeight="1">
      <c r="DC780" s="31">
        <v>-0.86484242123449062</v>
      </c>
      <c r="DD780" s="31">
        <v>4.3667880624616293</v>
      </c>
    </row>
    <row r="781" spans="107:108" ht="20.25" customHeight="1">
      <c r="DC781" s="31">
        <v>-0.86634061020362674</v>
      </c>
      <c r="DD781" s="31">
        <v>4.3724501252671111</v>
      </c>
    </row>
    <row r="782" spans="107:108" ht="20.25" customHeight="1">
      <c r="DC782" s="31">
        <v>-0.86784645462657284</v>
      </c>
      <c r="DD782" s="31">
        <v>4.3781121880725928</v>
      </c>
    </row>
    <row r="783" spans="107:108" ht="20.25" customHeight="1">
      <c r="DC783" s="31">
        <v>-0.86935998283759053</v>
      </c>
      <c r="DD783" s="31">
        <v>4.3837742508780737</v>
      </c>
    </row>
    <row r="784" spans="107:108" ht="20.25" customHeight="1">
      <c r="DC784" s="31">
        <v>-0.87088122317094008</v>
      </c>
      <c r="DD784" s="31">
        <v>4.3894363136835555</v>
      </c>
    </row>
    <row r="785" spans="107:108" ht="20.25" customHeight="1">
      <c r="DC785" s="31">
        <v>-0.87241020396088353</v>
      </c>
      <c r="DD785" s="31">
        <v>4.3950983764890372</v>
      </c>
    </row>
    <row r="786" spans="107:108" ht="20.25" customHeight="1">
      <c r="DC786" s="31">
        <v>-0.87394695354168295</v>
      </c>
      <c r="DD786" s="31">
        <v>4.4007604392945181</v>
      </c>
    </row>
    <row r="787" spans="107:108" ht="20.25" customHeight="1">
      <c r="DC787" s="31">
        <v>-0.87549150024759903</v>
      </c>
      <c r="DD787" s="31">
        <v>4.4064225020999999</v>
      </c>
    </row>
    <row r="788" spans="107:108" ht="20.25" customHeight="1">
      <c r="DC788" s="31">
        <v>-0.87704387241289516</v>
      </c>
      <c r="DD788" s="31">
        <v>4.4120845649054816</v>
      </c>
    </row>
    <row r="789" spans="107:108" ht="20.25" customHeight="1">
      <c r="DC789" s="31">
        <v>-0.87860409837183029</v>
      </c>
      <c r="DD789" s="31">
        <v>4.4177466277109625</v>
      </c>
    </row>
    <row r="790" spans="107:108" ht="20.25" customHeight="1">
      <c r="DC790" s="31">
        <v>-0.88017220645866778</v>
      </c>
      <c r="DD790" s="31">
        <v>4.4234086905164443</v>
      </c>
    </row>
    <row r="791" spans="107:108" ht="20.25" customHeight="1">
      <c r="DC791" s="31">
        <v>-0.88174822500766881</v>
      </c>
      <c r="DD791" s="31">
        <v>4.429070753321926</v>
      </c>
    </row>
    <row r="792" spans="107:108" ht="20.25" customHeight="1">
      <c r="DC792" s="31">
        <v>-0.88333218235309363</v>
      </c>
      <c r="DD792" s="31">
        <v>4.4347328161274069</v>
      </c>
    </row>
    <row r="793" spans="107:108" ht="20.25" customHeight="1">
      <c r="DC793" s="31">
        <v>-0.88492410682920564</v>
      </c>
      <c r="DD793" s="31">
        <v>4.4403948789328886</v>
      </c>
    </row>
    <row r="794" spans="107:108" ht="20.25" customHeight="1">
      <c r="DC794" s="31">
        <v>-0.88652402677026554</v>
      </c>
      <c r="DD794" s="31">
        <v>4.4460569417383704</v>
      </c>
    </row>
    <row r="795" spans="107:108" ht="20.25" customHeight="1">
      <c r="DC795" s="31">
        <v>-0.88813197051053361</v>
      </c>
      <c r="DD795" s="31">
        <v>4.4517190045438522</v>
      </c>
    </row>
    <row r="796" spans="107:108" ht="20.25" customHeight="1">
      <c r="DC796" s="31">
        <v>-0.88974796638427278</v>
      </c>
      <c r="DD796" s="31">
        <v>4.457381067349333</v>
      </c>
    </row>
    <row r="797" spans="107:108" ht="20.25" customHeight="1">
      <c r="DC797" s="31">
        <v>-0.89137204272574466</v>
      </c>
      <c r="DD797" s="31">
        <v>4.4630431301548148</v>
      </c>
    </row>
    <row r="798" spans="107:108" ht="20.25" customHeight="1">
      <c r="DC798" s="31">
        <v>-0.89300422786920952</v>
      </c>
      <c r="DD798" s="31">
        <v>4.4687051929602966</v>
      </c>
    </row>
    <row r="799" spans="107:108" ht="20.25" customHeight="1">
      <c r="DC799" s="31">
        <v>-0.89464455014893074</v>
      </c>
      <c r="DD799" s="31">
        <v>4.4743672557657774</v>
      </c>
    </row>
    <row r="800" spans="107:108" ht="20.25" customHeight="1">
      <c r="DC800" s="31">
        <v>-0.89629303789916814</v>
      </c>
      <c r="DD800" s="31">
        <v>4.4800293185712592</v>
      </c>
    </row>
    <row r="801" spans="107:108" ht="20.25" customHeight="1">
      <c r="DC801" s="31">
        <v>-0.89794971945418467</v>
      </c>
      <c r="DD801" s="31">
        <v>4.4856913813767409</v>
      </c>
    </row>
    <row r="802" spans="107:108" ht="20.25" customHeight="1">
      <c r="DC802" s="31">
        <v>-0.8996146231482397</v>
      </c>
      <c r="DD802" s="31">
        <v>4.4913534441822218</v>
      </c>
    </row>
    <row r="803" spans="107:108" ht="20.25" customHeight="1">
      <c r="DC803" s="31">
        <v>-0.90128777731559795</v>
      </c>
      <c r="DD803" s="31">
        <v>4.4970155069877036</v>
      </c>
    </row>
    <row r="804" spans="107:108" ht="20.25" customHeight="1">
      <c r="DC804" s="31">
        <v>-0.90296921029051791</v>
      </c>
      <c r="DD804" s="31">
        <v>4.5026775697931853</v>
      </c>
    </row>
    <row r="805" spans="107:108" ht="20.25" customHeight="1">
      <c r="DC805" s="31">
        <v>-0.90465895040726163</v>
      </c>
      <c r="DD805" s="31">
        <v>4.5083396325986662</v>
      </c>
    </row>
    <row r="806" spans="107:108" ht="20.25" customHeight="1">
      <c r="DC806" s="31">
        <v>-0.90635702600009205</v>
      </c>
      <c r="DD806" s="31">
        <v>4.514001695404148</v>
      </c>
    </row>
    <row r="807" spans="107:108" ht="20.25" customHeight="1">
      <c r="DC807" s="31">
        <v>-0.90806346540326943</v>
      </c>
      <c r="DD807" s="31">
        <v>4.5196637582096297</v>
      </c>
    </row>
    <row r="808" spans="107:108" ht="20.25" customHeight="1">
      <c r="DC808" s="31">
        <v>-0.90977829695105628</v>
      </c>
      <c r="DD808" s="31">
        <v>4.5253258210151106</v>
      </c>
    </row>
    <row r="809" spans="107:108" ht="20.25" customHeight="1">
      <c r="DC809" s="31">
        <v>-0.91150154897771329</v>
      </c>
      <c r="DD809" s="31">
        <v>4.5309878838205924</v>
      </c>
    </row>
    <row r="810" spans="107:108" ht="20.25" customHeight="1">
      <c r="DC810" s="31">
        <v>-0.91323324981750209</v>
      </c>
      <c r="DD810" s="31">
        <v>4.5366499466260741</v>
      </c>
    </row>
    <row r="811" spans="107:108" ht="20.25" customHeight="1">
      <c r="DC811" s="31">
        <v>-0.91497342780468516</v>
      </c>
      <c r="DD811" s="31">
        <v>4.5423120094315559</v>
      </c>
    </row>
    <row r="812" spans="107:108" ht="20.25" customHeight="1">
      <c r="DC812" s="31">
        <v>-0.91672211127352232</v>
      </c>
      <c r="DD812" s="31">
        <v>4.5479740722370368</v>
      </c>
    </row>
    <row r="813" spans="107:108" ht="20.25" customHeight="1">
      <c r="DC813" s="31">
        <v>-0.91847932855827563</v>
      </c>
      <c r="DD813" s="31">
        <v>4.5536361350425185</v>
      </c>
    </row>
    <row r="814" spans="107:108" ht="20.25" customHeight="1">
      <c r="DC814" s="31">
        <v>-0.92024510799320802</v>
      </c>
      <c r="DD814" s="31">
        <v>4.5592981978480003</v>
      </c>
    </row>
    <row r="815" spans="107:108" ht="20.25" customHeight="1">
      <c r="DC815" s="31">
        <v>-0.92201947791257932</v>
      </c>
      <c r="DD815" s="31">
        <v>4.5649602606534811</v>
      </c>
    </row>
    <row r="816" spans="107:108" ht="20.25" customHeight="1">
      <c r="DC816" s="31">
        <v>-0.92380246665065158</v>
      </c>
      <c r="DD816" s="31">
        <v>4.5706223234589629</v>
      </c>
    </row>
    <row r="817" spans="107:108" ht="20.25" customHeight="1">
      <c r="DC817" s="31">
        <v>-0.92559410254168639</v>
      </c>
      <c r="DD817" s="31">
        <v>4.5762843862644447</v>
      </c>
    </row>
    <row r="818" spans="107:108" ht="20.25" customHeight="1">
      <c r="DC818" s="31">
        <v>-0.92739441391994581</v>
      </c>
      <c r="DD818" s="31">
        <v>4.5819464490699255</v>
      </c>
    </row>
    <row r="819" spans="107:108" ht="20.25" customHeight="1">
      <c r="DC819" s="31">
        <v>-0.92920342911968967</v>
      </c>
      <c r="DD819" s="31">
        <v>4.5876085118754073</v>
      </c>
    </row>
    <row r="820" spans="107:108" ht="20.25" customHeight="1">
      <c r="DC820" s="31">
        <v>-0.9310211764751809</v>
      </c>
      <c r="DD820" s="31">
        <v>4.5932705746808891</v>
      </c>
    </row>
    <row r="821" spans="107:108" ht="20.25" customHeight="1">
      <c r="DC821" s="31">
        <v>-0.93284768432068155</v>
      </c>
      <c r="DD821" s="31">
        <v>4.5989326374863699</v>
      </c>
    </row>
    <row r="822" spans="107:108" ht="20.25" customHeight="1">
      <c r="DC822" s="31">
        <v>-0.93468298099045144</v>
      </c>
      <c r="DD822" s="31">
        <v>4.6045947002918517</v>
      </c>
    </row>
    <row r="823" spans="107:108" ht="20.25" customHeight="1">
      <c r="DC823" s="31">
        <v>-0.93652709481875351</v>
      </c>
      <c r="DD823" s="31">
        <v>4.6102567630973335</v>
      </c>
    </row>
    <row r="824" spans="107:108" ht="20.25" customHeight="1">
      <c r="DC824" s="31">
        <v>-0.9383800541398476</v>
      </c>
      <c r="DD824" s="31">
        <v>4.6159188259028143</v>
      </c>
    </row>
    <row r="825" spans="107:108" ht="20.25" customHeight="1">
      <c r="DC825" s="31">
        <v>-0.94024188728799662</v>
      </c>
      <c r="DD825" s="31">
        <v>4.6215808887082961</v>
      </c>
    </row>
    <row r="826" spans="107:108" ht="20.25" customHeight="1">
      <c r="DC826" s="31">
        <v>-0.94211262259746265</v>
      </c>
      <c r="DD826" s="31">
        <v>4.6272429515137778</v>
      </c>
    </row>
    <row r="827" spans="107:108" ht="20.25" customHeight="1">
      <c r="DC827" s="31">
        <v>-0.94399228840250637</v>
      </c>
      <c r="DD827" s="31">
        <v>4.6329050143192596</v>
      </c>
    </row>
    <row r="828" spans="107:108" ht="20.25" customHeight="1">
      <c r="DC828" s="31">
        <v>-0.94588091303738719</v>
      </c>
      <c r="DD828" s="31">
        <v>4.6385670771247405</v>
      </c>
    </row>
    <row r="829" spans="107:108" ht="20.25" customHeight="1">
      <c r="DC829" s="31">
        <v>-0.94777852483637115</v>
      </c>
      <c r="DD829" s="31">
        <v>4.6442291399302222</v>
      </c>
    </row>
    <row r="830" spans="107:108" ht="20.25" customHeight="1">
      <c r="DC830" s="31">
        <v>-0.9496851521337154</v>
      </c>
      <c r="DD830" s="31">
        <v>4.649891202735704</v>
      </c>
    </row>
    <row r="831" spans="107:108" ht="20.25" customHeight="1">
      <c r="DC831" s="31">
        <v>-0.95160082326368467</v>
      </c>
      <c r="DD831" s="31">
        <v>4.6555532655411849</v>
      </c>
    </row>
    <row r="832" spans="107:108" ht="20.25" customHeight="1">
      <c r="DC832" s="31">
        <v>-0.95352556656053922</v>
      </c>
      <c r="DD832" s="31">
        <v>4.6612153283466666</v>
      </c>
    </row>
    <row r="833" spans="107:108" ht="20.25" customHeight="1">
      <c r="DC833" s="31">
        <v>-0.95545941035853887</v>
      </c>
      <c r="DD833" s="31">
        <v>4.6668773911521484</v>
      </c>
    </row>
    <row r="834" spans="107:108" ht="20.25" customHeight="1">
      <c r="DC834" s="31">
        <v>-0.95740238299194746</v>
      </c>
      <c r="DD834" s="31">
        <v>4.6725394539576293</v>
      </c>
    </row>
    <row r="835" spans="107:108" ht="20.25" customHeight="1">
      <c r="DC835" s="31">
        <v>-0.95935451279502615</v>
      </c>
      <c r="DD835" s="31">
        <v>4.678201516763111</v>
      </c>
    </row>
    <row r="836" spans="107:108" ht="20.25" customHeight="1">
      <c r="DC836" s="31">
        <v>-0.96131582810203609</v>
      </c>
      <c r="DD836" s="31">
        <v>4.6838635795685928</v>
      </c>
    </row>
    <row r="837" spans="107:108" ht="20.25" customHeight="1">
      <c r="DC837" s="31">
        <v>-0.96328635724723888</v>
      </c>
      <c r="DD837" s="31">
        <v>4.6895256423740737</v>
      </c>
    </row>
    <row r="838" spans="107:108" ht="20.25" customHeight="1">
      <c r="DC838" s="31">
        <v>-0.96526612856489524</v>
      </c>
      <c r="DD838" s="31">
        <v>4.6951877051795554</v>
      </c>
    </row>
    <row r="839" spans="107:108" ht="20.25" customHeight="1">
      <c r="DC839" s="31">
        <v>-0.96725517038926812</v>
      </c>
      <c r="DD839" s="31">
        <v>4.7008497679850372</v>
      </c>
    </row>
    <row r="840" spans="107:108" ht="20.25" customHeight="1">
      <c r="DC840" s="31">
        <v>-0.96925351105461732</v>
      </c>
      <c r="DD840" s="31">
        <v>4.706511830790518</v>
      </c>
    </row>
    <row r="841" spans="107:108" ht="20.25" customHeight="1">
      <c r="DC841" s="31">
        <v>-0.97126117889520669</v>
      </c>
      <c r="DD841" s="31">
        <v>4.7121738935959998</v>
      </c>
    </row>
    <row r="842" spans="107:108" ht="20.25" customHeight="1">
      <c r="DC842" s="31">
        <v>-0.9732782022452956</v>
      </c>
      <c r="DD842" s="31">
        <v>4.7178359564014816</v>
      </c>
    </row>
    <row r="843" spans="107:108" ht="20.25" customHeight="1">
      <c r="DC843" s="31">
        <v>-0.97530460943914565</v>
      </c>
      <c r="DD843" s="31">
        <v>4.7234980192069633</v>
      </c>
    </row>
    <row r="844" spans="107:108" ht="20.25" customHeight="1">
      <c r="DC844" s="31">
        <v>-0.97734042881101979</v>
      </c>
      <c r="DD844" s="31">
        <v>4.7291600820124442</v>
      </c>
    </row>
    <row r="845" spans="107:108" ht="20.25" customHeight="1">
      <c r="DC845" s="31">
        <v>-0.97938568869517872</v>
      </c>
      <c r="DD845" s="31">
        <v>4.734822144817926</v>
      </c>
    </row>
    <row r="846" spans="107:108" ht="20.25" customHeight="1">
      <c r="DC846" s="31">
        <v>-0.98144041742588406</v>
      </c>
      <c r="DD846" s="31">
        <v>4.7404842076234077</v>
      </c>
    </row>
    <row r="847" spans="107:108" ht="20.25" customHeight="1">
      <c r="DC847" s="31">
        <v>-0.98350464333739651</v>
      </c>
      <c r="DD847" s="31">
        <v>4.7461462704288886</v>
      </c>
    </row>
    <row r="848" spans="107:108" ht="20.25" customHeight="1">
      <c r="DC848" s="31">
        <v>-0.98557839476397946</v>
      </c>
      <c r="DD848" s="31">
        <v>4.7518083332343704</v>
      </c>
    </row>
    <row r="849" spans="107:108" ht="20.25" customHeight="1">
      <c r="DC849" s="31">
        <v>-0.98766170003989184</v>
      </c>
      <c r="DD849" s="31">
        <v>4.7574703960398521</v>
      </c>
    </row>
    <row r="850" spans="107:108" ht="20.25" customHeight="1">
      <c r="DC850" s="31">
        <v>-0.98975458749939793</v>
      </c>
      <c r="DD850" s="31">
        <v>4.763132458845333</v>
      </c>
    </row>
    <row r="851" spans="107:108" ht="20.25" customHeight="1">
      <c r="DC851" s="31">
        <v>-0.99185708547675755</v>
      </c>
      <c r="DD851" s="31">
        <v>4.7687945216508147</v>
      </c>
    </row>
    <row r="852" spans="107:108" ht="20.25" customHeight="1">
      <c r="DC852" s="31">
        <v>-0.99396922230623275</v>
      </c>
      <c r="DD852" s="31">
        <v>4.7744565844562965</v>
      </c>
    </row>
    <row r="853" spans="107:108" ht="20.25" customHeight="1">
      <c r="DC853" s="31">
        <v>-0.99609102632208468</v>
      </c>
      <c r="DD853" s="31">
        <v>4.7801186472617774</v>
      </c>
    </row>
    <row r="854" spans="107:108" ht="20.25" customHeight="1">
      <c r="DC854" s="31">
        <v>-0.99822252585857496</v>
      </c>
      <c r="DD854" s="31">
        <v>4.7857807100672591</v>
      </c>
    </row>
    <row r="855" spans="107:108" ht="20.25" customHeight="1">
      <c r="DC855" s="31">
        <v>-1.0003637492499649</v>
      </c>
      <c r="DD855" s="31">
        <v>4.7914427728727409</v>
      </c>
    </row>
    <row r="856" spans="107:108" ht="20.25" customHeight="1">
      <c r="DC856" s="31">
        <v>-1.0025147248305162</v>
      </c>
      <c r="DD856" s="31">
        <v>4.7971048356782218</v>
      </c>
    </row>
    <row r="857" spans="107:108" ht="20.25" customHeight="1">
      <c r="DC857" s="31">
        <v>-1.0046754809344911</v>
      </c>
      <c r="DD857" s="31">
        <v>4.8027668984837035</v>
      </c>
    </row>
    <row r="858" spans="107:108" ht="20.25" customHeight="1">
      <c r="DC858" s="31">
        <v>-1.0068460458961503</v>
      </c>
      <c r="DD858" s="31">
        <v>4.8084289612891853</v>
      </c>
    </row>
    <row r="859" spans="107:108" ht="20.25" customHeight="1">
      <c r="DC859" s="31">
        <v>-1.0090264480497555</v>
      </c>
      <c r="DD859" s="31">
        <v>4.8140910240946662</v>
      </c>
    </row>
    <row r="860" spans="107:108" ht="20.25" customHeight="1">
      <c r="DC860" s="31">
        <v>-1.0112167157295677</v>
      </c>
      <c r="DD860" s="31">
        <v>4.8197530869001479</v>
      </c>
    </row>
    <row r="861" spans="107:108" ht="20.25" customHeight="1">
      <c r="DC861" s="31">
        <v>-1.0134168772698495</v>
      </c>
      <c r="DD861" s="31">
        <v>4.8254151497056297</v>
      </c>
    </row>
    <row r="862" spans="107:108" ht="20.25" customHeight="1">
      <c r="DC862" s="31">
        <v>-1.015626961004862</v>
      </c>
      <c r="DD862" s="31">
        <v>4.8310772125111114</v>
      </c>
    </row>
    <row r="863" spans="107:108" ht="20.25" customHeight="1">
      <c r="DC863" s="31">
        <v>-1.0178469952688651</v>
      </c>
      <c r="DD863" s="31">
        <v>4.8367392753165923</v>
      </c>
    </row>
    <row r="864" spans="107:108" ht="20.25" customHeight="1">
      <c r="DC864" s="31">
        <v>-1.0200770083961235</v>
      </c>
      <c r="DD864" s="31">
        <v>4.8424013381220741</v>
      </c>
    </row>
    <row r="865" spans="107:108" ht="20.25" customHeight="1">
      <c r="DC865" s="31">
        <v>-1.022317028720896</v>
      </c>
      <c r="DD865" s="31">
        <v>4.8480634009275558</v>
      </c>
    </row>
    <row r="866" spans="107:108" ht="20.25" customHeight="1">
      <c r="DC866" s="31">
        <v>-1.0245670845774453</v>
      </c>
      <c r="DD866" s="31">
        <v>4.8537254637330367</v>
      </c>
    </row>
    <row r="867" spans="107:108" ht="20.25" customHeight="1">
      <c r="DC867" s="31">
        <v>-1.0268272043000328</v>
      </c>
      <c r="DD867" s="31">
        <v>4.8593875265385185</v>
      </c>
    </row>
    <row r="868" spans="107:108" ht="20.25" customHeight="1">
      <c r="DC868" s="31">
        <v>-1.0290974162229198</v>
      </c>
      <c r="DD868" s="31">
        <v>4.8650495893440002</v>
      </c>
    </row>
    <row r="869" spans="107:108" ht="20.25" customHeight="1">
      <c r="DC869" s="31">
        <v>-1.0313777486803675</v>
      </c>
      <c r="DD869" s="31">
        <v>4.8707116521494811</v>
      </c>
    </row>
    <row r="870" spans="107:108" ht="20.25" customHeight="1">
      <c r="DC870" s="31">
        <v>-1.0336682300066378</v>
      </c>
      <c r="DD870" s="31">
        <v>4.8763737149549629</v>
      </c>
    </row>
    <row r="871" spans="107:108" ht="20.25" customHeight="1">
      <c r="DC871" s="31">
        <v>-1.0359688885359932</v>
      </c>
      <c r="DD871" s="31">
        <v>4.8820357777604446</v>
      </c>
    </row>
    <row r="872" spans="107:108" ht="20.25" customHeight="1">
      <c r="DC872" s="31">
        <v>-1.0382797526026928</v>
      </c>
      <c r="DD872" s="31">
        <v>4.8876978405659255</v>
      </c>
    </row>
    <row r="873" spans="107:108" ht="20.25" customHeight="1">
      <c r="DC873" s="31">
        <v>-1.0406008505410012</v>
      </c>
      <c r="DD873" s="31">
        <v>4.8933599033714072</v>
      </c>
    </row>
    <row r="874" spans="107:108" ht="20.25" customHeight="1">
      <c r="DC874" s="31">
        <v>-1.0429322106851768</v>
      </c>
      <c r="DD874" s="31">
        <v>4.899021966176889</v>
      </c>
    </row>
    <row r="875" spans="107:108" ht="20.25" customHeight="1">
      <c r="DC875" s="31">
        <v>-1.0452738613694832</v>
      </c>
      <c r="DD875" s="31">
        <v>4.9046840289823699</v>
      </c>
    </row>
    <row r="876" spans="107:108" ht="20.25" customHeight="1">
      <c r="DC876" s="31">
        <v>-1.0476258309281814</v>
      </c>
      <c r="DD876" s="31">
        <v>4.9103460917878516</v>
      </c>
    </row>
    <row r="877" spans="107:108" ht="20.25" customHeight="1">
      <c r="DC877" s="31">
        <v>-1.0499881476955326</v>
      </c>
      <c r="DD877" s="31">
        <v>4.9160081545933334</v>
      </c>
    </row>
    <row r="878" spans="107:108" ht="20.25" customHeight="1">
      <c r="DC878" s="31">
        <v>-1.0523608400057984</v>
      </c>
      <c r="DD878" s="31">
        <v>4.9216702173988152</v>
      </c>
    </row>
    <row r="879" spans="107:108" ht="20.25" customHeight="1">
      <c r="DC879" s="31">
        <v>-1.0547439361932409</v>
      </c>
      <c r="DD879" s="31">
        <v>4.927332280204296</v>
      </c>
    </row>
    <row r="880" spans="107:108" ht="20.25" customHeight="1">
      <c r="DC880" s="31">
        <v>-1.0571374645921203</v>
      </c>
      <c r="DD880" s="31">
        <v>4.9329943430097778</v>
      </c>
    </row>
    <row r="881" spans="107:108" ht="20.25" customHeight="1">
      <c r="DC881" s="31">
        <v>-1.0595414535366996</v>
      </c>
      <c r="DD881" s="31">
        <v>4.9386564058152596</v>
      </c>
    </row>
    <row r="882" spans="107:108" ht="20.25" customHeight="1">
      <c r="DC882" s="31">
        <v>-1.0619559313612394</v>
      </c>
      <c r="DD882" s="31">
        <v>4.9443184686207404</v>
      </c>
    </row>
    <row r="883" spans="107:108" ht="20.25" customHeight="1">
      <c r="DC883" s="31">
        <v>-1.0643809264000015</v>
      </c>
      <c r="DD883" s="31">
        <v>4.9499805314262222</v>
      </c>
    </row>
    <row r="884" spans="107:108" ht="20.25" customHeight="1">
      <c r="DC884" s="31">
        <v>-1.0668164669872469</v>
      </c>
      <c r="DD884" s="31">
        <v>4.9556425942317039</v>
      </c>
    </row>
    <row r="885" spans="107:108" ht="20.25" customHeight="1">
      <c r="DC885" s="31">
        <v>-1.0692625814572381</v>
      </c>
      <c r="DD885" s="31">
        <v>4.9613046570371848</v>
      </c>
    </row>
    <row r="886" spans="107:108" ht="20.25" customHeight="1">
      <c r="DC886" s="31">
        <v>-1.0717192981442363</v>
      </c>
      <c r="DD886" s="31">
        <v>4.9669667198426666</v>
      </c>
    </row>
    <row r="887" spans="107:108" ht="20.25" customHeight="1">
      <c r="DC887" s="31">
        <v>-1.0741866453825022</v>
      </c>
      <c r="DD887" s="31">
        <v>4.9726287826481483</v>
      </c>
    </row>
    <row r="888" spans="107:108" ht="20.25" customHeight="1">
      <c r="DC888" s="31">
        <v>-1.0766646515062983</v>
      </c>
      <c r="DD888" s="31">
        <v>4.9782908454536292</v>
      </c>
    </row>
    <row r="889" spans="107:108" ht="20.25" customHeight="1">
      <c r="DC889" s="31">
        <v>-1.0791533448498849</v>
      </c>
      <c r="DD889" s="31">
        <v>4.983952908259111</v>
      </c>
    </row>
    <row r="890" spans="107:108" ht="20.25" customHeight="1">
      <c r="DC890" s="31">
        <v>-1.0816527537475258</v>
      </c>
      <c r="DD890" s="31">
        <v>4.9896149710645927</v>
      </c>
    </row>
    <row r="891" spans="107:108" ht="20.25" customHeight="1">
      <c r="DC891" s="31">
        <v>-1.0841629065334799</v>
      </c>
      <c r="DD891" s="31">
        <v>4.9952770338700736</v>
      </c>
    </row>
    <row r="892" spans="107:108" ht="20.25" customHeight="1">
      <c r="DC892" s="31">
        <v>-1.0866838315420102</v>
      </c>
      <c r="DD892" s="31">
        <v>5.0009390966755554</v>
      </c>
    </row>
    <row r="893" spans="107:108" ht="20.25" customHeight="1">
      <c r="DC893" s="31">
        <v>-1.0892155571073783</v>
      </c>
      <c r="DD893" s="31">
        <v>5.0066011594810371</v>
      </c>
    </row>
    <row r="894" spans="107:108" ht="20.25" customHeight="1">
      <c r="DC894" s="31">
        <v>-1.0917581115638448</v>
      </c>
      <c r="DD894" s="31">
        <v>5.0122632222865189</v>
      </c>
    </row>
    <row r="895" spans="107:108" ht="20.25" customHeight="1">
      <c r="DC895" s="31">
        <v>-1.0943115232456724</v>
      </c>
      <c r="DD895" s="31">
        <v>5.0179252850919998</v>
      </c>
    </row>
    <row r="896" spans="107:108" ht="20.25" customHeight="1">
      <c r="DC896" s="31">
        <v>-1.0968758204871203</v>
      </c>
      <c r="DD896" s="31">
        <v>5.0235873478974815</v>
      </c>
    </row>
    <row r="897" spans="107:108" ht="20.25" customHeight="1">
      <c r="DC897" s="31">
        <v>-1.0994510316224528</v>
      </c>
      <c r="DD897" s="31">
        <v>5.0292494107029633</v>
      </c>
    </row>
    <row r="898" spans="107:108" ht="20.25" customHeight="1">
      <c r="DC898" s="31">
        <v>-1.1020371849859298</v>
      </c>
      <c r="DD898" s="31">
        <v>5.0349114735084441</v>
      </c>
    </row>
    <row r="899" spans="107:108" ht="20.25" customHeight="1">
      <c r="DC899" s="31">
        <v>-1.1046343089118134</v>
      </c>
      <c r="DD899" s="31">
        <v>5.0405735363139259</v>
      </c>
    </row>
    <row r="900" spans="107:108" ht="20.25" customHeight="1">
      <c r="DC900" s="31">
        <v>-1.1072424317343659</v>
      </c>
      <c r="DD900" s="31">
        <v>5.0462355991194077</v>
      </c>
    </row>
    <row r="901" spans="107:108" ht="20.25" customHeight="1">
      <c r="DC901" s="31">
        <v>-1.1098615817878463</v>
      </c>
      <c r="DD901" s="31">
        <v>5.0518976619248885</v>
      </c>
    </row>
    <row r="902" spans="107:108" ht="20.25" customHeight="1">
      <c r="DC902" s="31">
        <v>-1.1124917874065177</v>
      </c>
      <c r="DD902" s="31">
        <v>5.0575597247303703</v>
      </c>
    </row>
    <row r="903" spans="107:108" ht="20.25" customHeight="1">
      <c r="DC903" s="31">
        <v>-1.1151330769246428</v>
      </c>
      <c r="DD903" s="31">
        <v>5.0632217875358521</v>
      </c>
    </row>
    <row r="904" spans="107:108" ht="20.25" customHeight="1">
      <c r="DC904" s="31">
        <v>-1.1177854786764807</v>
      </c>
      <c r="DD904" s="31">
        <v>5.0688838503413329</v>
      </c>
    </row>
    <row r="905" spans="107:108" ht="20.25" customHeight="1">
      <c r="DC905" s="31">
        <v>-1.1204490209962947</v>
      </c>
      <c r="DD905" s="31">
        <v>5.0745459131468147</v>
      </c>
    </row>
    <row r="906" spans="107:108" ht="20.25" customHeight="1">
      <c r="DC906" s="31">
        <v>-1.1231237322183465</v>
      </c>
      <c r="DD906" s="31">
        <v>5.0802079759522965</v>
      </c>
    </row>
    <row r="907" spans="107:108" ht="20.25" customHeight="1">
      <c r="DC907" s="31">
        <v>-1.1258096406768949</v>
      </c>
      <c r="DD907" s="31">
        <v>5.0858700387577773</v>
      </c>
    </row>
    <row r="908" spans="107:108" ht="20.25" customHeight="1">
      <c r="DC908" s="31">
        <v>-1.1285067747062052</v>
      </c>
      <c r="DD908" s="31">
        <v>5.0915321015632591</v>
      </c>
    </row>
    <row r="909" spans="107:108" ht="20.25" customHeight="1">
      <c r="DC909" s="31">
        <v>-1.1312151626405358</v>
      </c>
      <c r="DD909" s="31">
        <v>5.0971941643687408</v>
      </c>
    </row>
    <row r="910" spans="107:108" ht="20.25" customHeight="1">
      <c r="DC910" s="31">
        <v>-1.1339348328141501</v>
      </c>
      <c r="DD910" s="31">
        <v>5.1028562271742217</v>
      </c>
    </row>
    <row r="911" spans="107:108" ht="20.25" customHeight="1">
      <c r="DC911" s="31">
        <v>-1.1366658135613079</v>
      </c>
      <c r="DD911" s="31">
        <v>5.1085182899797035</v>
      </c>
    </row>
    <row r="912" spans="107:108" ht="20.25" customHeight="1">
      <c r="DC912" s="31">
        <v>-1.1394081332162731</v>
      </c>
      <c r="DD912" s="31">
        <v>5.1141803527851852</v>
      </c>
    </row>
    <row r="913" spans="107:108" ht="20.25" customHeight="1">
      <c r="DC913" s="31">
        <v>-1.1421618201133059</v>
      </c>
      <c r="DD913" s="31">
        <v>5.119842415590667</v>
      </c>
    </row>
    <row r="914" spans="107:108" ht="20.25" customHeight="1">
      <c r="DC914" s="31">
        <v>-1.1449269025866666</v>
      </c>
      <c r="DD914" s="31">
        <v>5.1255044783961479</v>
      </c>
    </row>
    <row r="915" spans="107:108" ht="20.25" customHeight="1">
      <c r="DC915" s="31">
        <v>-1.1477034089706191</v>
      </c>
      <c r="DD915" s="31">
        <v>5.1311665412016296</v>
      </c>
    </row>
    <row r="916" spans="107:108" ht="20.25" customHeight="1">
      <c r="DC916" s="31">
        <v>-1.1504913675994239</v>
      </c>
      <c r="DD916" s="31">
        <v>5.1368286040071114</v>
      </c>
    </row>
    <row r="917" spans="107:108" ht="20.25" customHeight="1">
      <c r="DC917" s="31">
        <v>-1.1532908068073411</v>
      </c>
      <c r="DD917" s="31">
        <v>5.1424906668125923</v>
      </c>
    </row>
    <row r="918" spans="107:108" ht="20.25" customHeight="1">
      <c r="DC918" s="31">
        <v>-1.1561017549286343</v>
      </c>
      <c r="DD918" s="31">
        <v>5.148152729618074</v>
      </c>
    </row>
    <row r="919" spans="107:108" ht="20.25" customHeight="1">
      <c r="DC919" s="31">
        <v>-1.1589242402975639</v>
      </c>
      <c r="DD919" s="31">
        <v>5.1538147924235558</v>
      </c>
    </row>
    <row r="920" spans="107:108" ht="20.25" customHeight="1">
      <c r="DC920" s="31">
        <v>-1.1617582912483915</v>
      </c>
      <c r="DD920" s="31">
        <v>5.1594768552290367</v>
      </c>
    </row>
    <row r="921" spans="107:108" ht="20.25" customHeight="1">
      <c r="DC921" s="31">
        <v>-1.1646039361153786</v>
      </c>
      <c r="DD921" s="31">
        <v>5.1651389180345184</v>
      </c>
    </row>
    <row r="922" spans="107:108" ht="20.25" customHeight="1">
      <c r="DC922" s="31">
        <v>-1.1674612032327873</v>
      </c>
      <c r="DD922" s="31">
        <v>5.1708009808400002</v>
      </c>
    </row>
    <row r="923" spans="107:108" ht="20.25" customHeight="1">
      <c r="DC923" s="31">
        <v>-1.1703301209348784</v>
      </c>
      <c r="DD923" s="31">
        <v>5.176463043645481</v>
      </c>
    </row>
    <row r="924" spans="107:108" ht="20.25" customHeight="1">
      <c r="DC924" s="31">
        <v>-1.1732107175559148</v>
      </c>
      <c r="DD924" s="31">
        <v>5.1821251064509628</v>
      </c>
    </row>
    <row r="925" spans="107:108" ht="20.25" customHeight="1">
      <c r="DC925" s="31">
        <v>-1.1761030214301567</v>
      </c>
      <c r="DD925" s="31">
        <v>5.1877871692564446</v>
      </c>
    </row>
    <row r="926" spans="107:108" ht="20.25" customHeight="1">
      <c r="DC926" s="31">
        <v>-1.1790070608918635</v>
      </c>
      <c r="DD926" s="31">
        <v>5.1934492320619254</v>
      </c>
    </row>
    <row r="927" spans="107:108" ht="20.25" customHeight="1">
      <c r="DC927" s="31">
        <v>-1.1819228642753017</v>
      </c>
      <c r="DD927" s="31">
        <v>5.1991112948674072</v>
      </c>
    </row>
    <row r="928" spans="107:108" ht="20.25" customHeight="1">
      <c r="DC928" s="31">
        <v>-1.1848504599147294</v>
      </c>
      <c r="DD928" s="31">
        <v>5.204773357672889</v>
      </c>
    </row>
    <row r="929" spans="107:108" ht="20.25" customHeight="1">
      <c r="DC929" s="31">
        <v>-1.1877898761444081</v>
      </c>
      <c r="DD929" s="31">
        <v>5.2104354204783707</v>
      </c>
    </row>
    <row r="930" spans="107:108" ht="20.25" customHeight="1">
      <c r="DC930" s="31">
        <v>-1.1907411412986009</v>
      </c>
      <c r="DD930" s="31">
        <v>5.2160974832838516</v>
      </c>
    </row>
    <row r="931" spans="107:108" ht="20.25" customHeight="1">
      <c r="DC931" s="31">
        <v>-1.1937042837115683</v>
      </c>
      <c r="DD931" s="31">
        <v>5.2217595460893333</v>
      </c>
    </row>
    <row r="932" spans="107:108" ht="20.25" customHeight="1">
      <c r="DC932" s="31">
        <v>-1.1966793317175717</v>
      </c>
      <c r="DD932" s="31">
        <v>5.2274216088948151</v>
      </c>
    </row>
    <row r="933" spans="107:108" ht="20.25" customHeight="1">
      <c r="DC933" s="31">
        <v>-1.199666313650873</v>
      </c>
      <c r="DD933" s="31">
        <v>5.233083671700296</v>
      </c>
    </row>
    <row r="934" spans="107:108" ht="20.25" customHeight="1">
      <c r="DC934" s="31">
        <v>-1.2026652578457342</v>
      </c>
      <c r="DD934" s="31">
        <v>5.2387457345057777</v>
      </c>
    </row>
    <row r="935" spans="107:108" ht="20.25" customHeight="1">
      <c r="DC935" s="31">
        <v>-1.2056761926364157</v>
      </c>
      <c r="DD935" s="31">
        <v>5.2444077973112595</v>
      </c>
    </row>
    <row r="936" spans="107:108" ht="20.25" customHeight="1">
      <c r="DC936" s="31">
        <v>-1.208699146357179</v>
      </c>
      <c r="DD936" s="31">
        <v>5.2500698601167404</v>
      </c>
    </row>
    <row r="937" spans="107:108" ht="20.25" customHeight="1">
      <c r="DC937" s="31">
        <v>-1.2117341473422871</v>
      </c>
      <c r="DD937" s="31">
        <v>5.2557319229222221</v>
      </c>
    </row>
    <row r="938" spans="107:108" ht="20.25" customHeight="1">
      <c r="DC938" s="31">
        <v>-1.2147812239260003</v>
      </c>
      <c r="DD938" s="31">
        <v>5.2613939857277039</v>
      </c>
    </row>
    <row r="939" spans="107:108" ht="20.25" customHeight="1">
      <c r="DC939" s="31">
        <v>-1.2178404044425801</v>
      </c>
      <c r="DD939" s="31">
        <v>5.2670560485331848</v>
      </c>
    </row>
    <row r="940" spans="107:108" ht="20.25" customHeight="1">
      <c r="DC940" s="31">
        <v>-1.2209117172262887</v>
      </c>
      <c r="DD940" s="31">
        <v>5.2727181113386665</v>
      </c>
    </row>
    <row r="941" spans="107:108" ht="20.25" customHeight="1">
      <c r="DC941" s="31">
        <v>-1.2239951906113871</v>
      </c>
      <c r="DD941" s="31">
        <v>5.2783801741441483</v>
      </c>
    </row>
    <row r="942" spans="107:108" ht="20.25" customHeight="1">
      <c r="DC942" s="31">
        <v>-1.2270908529321374</v>
      </c>
      <c r="DD942" s="31">
        <v>5.2840422369496292</v>
      </c>
    </row>
    <row r="943" spans="107:108" ht="20.25" customHeight="1">
      <c r="DC943" s="31">
        <v>-1.2301987325227999</v>
      </c>
      <c r="DD943" s="31">
        <v>5.2897042997551109</v>
      </c>
    </row>
    <row r="944" spans="107:108" ht="20.25" customHeight="1">
      <c r="DC944" s="31">
        <v>-1.2333188577176371</v>
      </c>
      <c r="DD944" s="31">
        <v>5.2953663625605927</v>
      </c>
    </row>
    <row r="945" spans="107:108" ht="20.25" customHeight="1">
      <c r="DC945" s="31">
        <v>-1.2364512568509096</v>
      </c>
      <c r="DD945" s="31">
        <v>5.3010284253660744</v>
      </c>
    </row>
    <row r="946" spans="107:108" ht="20.25" customHeight="1">
      <c r="DC946" s="31">
        <v>-1.2395959582568796</v>
      </c>
      <c r="DD946" s="31">
        <v>5.3066904881715553</v>
      </c>
    </row>
    <row r="947" spans="107:108" ht="20.25" customHeight="1">
      <c r="DC947" s="31">
        <v>-1.24275299026981</v>
      </c>
      <c r="DD947" s="31">
        <v>5.3123525509770371</v>
      </c>
    </row>
    <row r="948" spans="107:108" ht="20.25" customHeight="1">
      <c r="DC948" s="31">
        <v>-1.2459223812239593</v>
      </c>
      <c r="DD948" s="31">
        <v>5.3180146137825188</v>
      </c>
    </row>
    <row r="949" spans="107:108" ht="20.25" customHeight="1">
      <c r="DC949" s="31">
        <v>-1.2491041594535912</v>
      </c>
      <c r="DD949" s="31">
        <v>5.3236766765879997</v>
      </c>
    </row>
    <row r="950" spans="107:108" ht="20.25" customHeight="1">
      <c r="DC950" s="31">
        <v>-1.252298353292967</v>
      </c>
      <c r="DD950" s="31">
        <v>5.3293387393934815</v>
      </c>
    </row>
    <row r="951" spans="107:108" ht="20.25" customHeight="1">
      <c r="DC951" s="31">
        <v>-1.2555049910763478</v>
      </c>
      <c r="DD951" s="31">
        <v>5.3350008021989632</v>
      </c>
    </row>
    <row r="952" spans="107:108" ht="20.25" customHeight="1">
      <c r="DC952" s="31">
        <v>-1.2587241011379939</v>
      </c>
      <c r="DD952" s="31">
        <v>5.3406628650044441</v>
      </c>
    </row>
    <row r="953" spans="107:108" ht="20.25" customHeight="1">
      <c r="DC953" s="31">
        <v>-1.26195571181217</v>
      </c>
      <c r="DD953" s="31">
        <v>5.3463249278099259</v>
      </c>
    </row>
    <row r="954" spans="107:108" ht="20.25" customHeight="1">
      <c r="DC954" s="31">
        <v>-1.2651998514331337</v>
      </c>
      <c r="DD954" s="31">
        <v>5.3519869906154076</v>
      </c>
    </row>
    <row r="955" spans="107:108" ht="20.25" customHeight="1">
      <c r="DC955" s="31">
        <v>-1.2684565483351498</v>
      </c>
      <c r="DD955" s="31">
        <v>5.3576490534208885</v>
      </c>
    </row>
    <row r="956" spans="107:108" ht="20.25" customHeight="1">
      <c r="DC956" s="31">
        <v>-1.2717258308524775</v>
      </c>
      <c r="DD956" s="31">
        <v>5.3633111162263702</v>
      </c>
    </row>
    <row r="957" spans="107:108" ht="20.25" customHeight="1">
      <c r="DC957" s="31">
        <v>-1.2750077273193798</v>
      </c>
      <c r="DD957" s="31">
        <v>5.368973179031852</v>
      </c>
    </row>
    <row r="958" spans="107:108" ht="20.25" customHeight="1">
      <c r="DC958" s="31">
        <v>-1.2783022660701175</v>
      </c>
      <c r="DD958" s="31">
        <v>5.3746352418373329</v>
      </c>
    </row>
    <row r="959" spans="107:108" ht="20.25" customHeight="1">
      <c r="DC959" s="31">
        <v>-1.2816094754389526</v>
      </c>
      <c r="DD959" s="31">
        <v>5.3802973046428146</v>
      </c>
    </row>
    <row r="960" spans="107:108" ht="20.25" customHeight="1">
      <c r="DC960" s="31">
        <v>-1.2849293837601468</v>
      </c>
      <c r="DD960" s="31">
        <v>5.3859593674482964</v>
      </c>
    </row>
    <row r="961" spans="107:108" ht="20.25" customHeight="1">
      <c r="DC961" s="31">
        <v>-1.2882620193679615</v>
      </c>
      <c r="DD961" s="31">
        <v>5.3916214302537782</v>
      </c>
    </row>
    <row r="962" spans="107:108" ht="20.25" customHeight="1">
      <c r="DC962" s="31">
        <v>-1.2916074105966544</v>
      </c>
      <c r="DD962" s="31">
        <v>5.397283493059259</v>
      </c>
    </row>
    <row r="963" spans="107:108" ht="20.25" customHeight="1">
      <c r="DC963" s="31">
        <v>-1.2949655857804938</v>
      </c>
      <c r="DD963" s="31">
        <v>5.4029455558647408</v>
      </c>
    </row>
    <row r="964" spans="107:108" ht="20.25" customHeight="1">
      <c r="DC964" s="31">
        <v>-1.2983365732537382</v>
      </c>
      <c r="DD964" s="31">
        <v>5.4086076186702225</v>
      </c>
    </row>
    <row r="965" spans="107:108" ht="20.25" customHeight="1">
      <c r="DC965" s="31">
        <v>-1.3017204013506469</v>
      </c>
      <c r="DD965" s="31">
        <v>5.4142696814757034</v>
      </c>
    </row>
    <row r="966" spans="107:108" ht="20.25" customHeight="1">
      <c r="DC966" s="31">
        <v>-1.3051170984054838</v>
      </c>
      <c r="DD966" s="31">
        <v>5.4199317442811852</v>
      </c>
    </row>
    <row r="967" spans="107:108" ht="20.25" customHeight="1">
      <c r="DC967" s="31">
        <v>-1.3085266927525088</v>
      </c>
      <c r="DD967" s="31">
        <v>5.4255938070866669</v>
      </c>
    </row>
    <row r="968" spans="107:108" ht="20.25" customHeight="1">
      <c r="DC968" s="31">
        <v>-1.3119492127259869</v>
      </c>
      <c r="DD968" s="31">
        <v>5.4312558698921478</v>
      </c>
    </row>
    <row r="969" spans="107:108" ht="20.25" customHeight="1">
      <c r="DC969" s="31">
        <v>-1.3153846866601748</v>
      </c>
      <c r="DD969" s="31">
        <v>5.4369179326976296</v>
      </c>
    </row>
    <row r="970" spans="107:108" ht="20.25" customHeight="1">
      <c r="DC970" s="31">
        <v>-1.3188331428893387</v>
      </c>
      <c r="DD970" s="31">
        <v>5.4425799955031113</v>
      </c>
    </row>
    <row r="971" spans="107:108" ht="20.25" customHeight="1">
      <c r="DC971" s="31">
        <v>-1.3222946097477357</v>
      </c>
      <c r="DD971" s="31">
        <v>5.4482420583085922</v>
      </c>
    </row>
    <row r="972" spans="107:108" ht="20.25" customHeight="1">
      <c r="DC972" s="31">
        <v>-1.3257691155696314</v>
      </c>
      <c r="DD972" s="31">
        <v>5.453904121114074</v>
      </c>
    </row>
    <row r="973" spans="107:108" ht="20.25" customHeight="1">
      <c r="DC973" s="31">
        <v>-1.3292566886892847</v>
      </c>
      <c r="DD973" s="31">
        <v>5.4595661839195557</v>
      </c>
    </row>
    <row r="974" spans="107:108" ht="20.25" customHeight="1">
      <c r="DC974" s="31">
        <v>-1.3327573574409572</v>
      </c>
      <c r="DD974" s="31">
        <v>5.4652282467250366</v>
      </c>
    </row>
    <row r="975" spans="107:108" ht="20.25" customHeight="1">
      <c r="DC975" s="31">
        <v>-1.3362711501589111</v>
      </c>
      <c r="DD975" s="31">
        <v>5.4708903095305184</v>
      </c>
    </row>
    <row r="976" spans="107:108" ht="20.25" customHeight="1">
      <c r="DC976" s="31">
        <v>-1.3397980951774082</v>
      </c>
      <c r="DD976" s="31">
        <v>5.4765523723360001</v>
      </c>
    </row>
    <row r="977" spans="107:108" ht="20.25" customHeight="1">
      <c r="DC977" s="31">
        <v>-1.343338220830709</v>
      </c>
      <c r="DD977" s="31">
        <v>5.482214435141481</v>
      </c>
    </row>
    <row r="978" spans="107:108" ht="20.25" customHeight="1">
      <c r="DC978" s="31">
        <v>-1.3468915554530763</v>
      </c>
      <c r="DD978" s="31">
        <v>5.4878764979469628</v>
      </c>
    </row>
    <row r="979" spans="107:108" ht="20.25" customHeight="1">
      <c r="DC979" s="31">
        <v>-1.3504581273787712</v>
      </c>
      <c r="DD979" s="31">
        <v>5.4935385607524445</v>
      </c>
    </row>
    <row r="980" spans="107:108" ht="20.25" customHeight="1">
      <c r="DC980" s="31">
        <v>-1.3540379649420538</v>
      </c>
      <c r="DD980" s="31">
        <v>5.4992006235579263</v>
      </c>
    </row>
    <row r="981" spans="107:108" ht="20.25" customHeight="1">
      <c r="DC981" s="31">
        <v>-1.3576310964771872</v>
      </c>
      <c r="DD981" s="31">
        <v>5.5048626863634071</v>
      </c>
    </row>
    <row r="982" spans="107:108" ht="20.25" customHeight="1">
      <c r="DC982" s="31">
        <v>-1.3612375503184326</v>
      </c>
      <c r="DD982" s="31">
        <v>5.5105247491688889</v>
      </c>
    </row>
    <row r="983" spans="107:108" ht="20.25" customHeight="1">
      <c r="DC983" s="31">
        <v>-1.3648573548000518</v>
      </c>
      <c r="DD983" s="31">
        <v>5.5161868119743707</v>
      </c>
    </row>
    <row r="984" spans="107:108" ht="20.25" customHeight="1">
      <c r="DC984" s="31">
        <v>-1.3684905382563044</v>
      </c>
      <c r="DD984" s="31">
        <v>5.5218488747798515</v>
      </c>
    </row>
    <row r="985" spans="107:108" ht="20.25" customHeight="1">
      <c r="DC985" s="31">
        <v>-1.3721371290214561</v>
      </c>
      <c r="DD985" s="31">
        <v>5.5275109375853333</v>
      </c>
    </row>
    <row r="986" spans="107:108" ht="20.25" customHeight="1">
      <c r="DC986" s="31">
        <v>-1.3757971554297637</v>
      </c>
      <c r="DD986" s="31">
        <v>5.5331730003908151</v>
      </c>
    </row>
    <row r="987" spans="107:108" ht="20.25" customHeight="1">
      <c r="DC987" s="31">
        <v>-1.3794706458154899</v>
      </c>
      <c r="DD987" s="31">
        <v>5.5388350631962959</v>
      </c>
    </row>
    <row r="988" spans="107:108" ht="20.25" customHeight="1">
      <c r="DC988" s="31">
        <v>-1.3831576285128988</v>
      </c>
      <c r="DD988" s="31">
        <v>5.5444971260017777</v>
      </c>
    </row>
    <row r="989" spans="107:108" ht="20.25" customHeight="1">
      <c r="DC989" s="31">
        <v>-1.3868581318562496</v>
      </c>
      <c r="DD989" s="31">
        <v>5.5501591888072594</v>
      </c>
    </row>
    <row r="990" spans="107:108" ht="20.25" customHeight="1">
      <c r="DC990" s="31">
        <v>-1.3905721841798044</v>
      </c>
      <c r="DD990" s="31">
        <v>5.5558212516127403</v>
      </c>
    </row>
    <row r="991" spans="107:108" ht="20.25" customHeight="1">
      <c r="DC991" s="31">
        <v>-1.3942998138178244</v>
      </c>
      <c r="DD991" s="31">
        <v>5.5614833144182221</v>
      </c>
    </row>
    <row r="992" spans="107:108" ht="20.25" customHeight="1">
      <c r="DC992" s="31">
        <v>-1.3980410491045712</v>
      </c>
      <c r="DD992" s="31">
        <v>5.5671453772237038</v>
      </c>
    </row>
    <row r="993" spans="107:108" ht="20.25" customHeight="1">
      <c r="DC993" s="31">
        <v>-1.4017959183743072</v>
      </c>
      <c r="DD993" s="31">
        <v>5.5728074400291847</v>
      </c>
    </row>
    <row r="994" spans="107:108" ht="20.25" customHeight="1">
      <c r="DC994" s="31">
        <v>-1.4055644499612918</v>
      </c>
      <c r="DD994" s="31">
        <v>5.5784695028346665</v>
      </c>
    </row>
    <row r="995" spans="107:108" ht="20.25" customHeight="1">
      <c r="DC995" s="31">
        <v>-1.4093466721997903</v>
      </c>
      <c r="DD995" s="31">
        <v>5.5841315656401482</v>
      </c>
    </row>
    <row r="996" spans="107:108" ht="20.25" customHeight="1">
      <c r="DC996" s="31">
        <v>-1.4131426134240601</v>
      </c>
      <c r="DD996" s="31">
        <v>5.58979362844563</v>
      </c>
    </row>
    <row r="997" spans="107:108" ht="20.25" customHeight="1">
      <c r="DC997" s="31">
        <v>-1.4169523019683647</v>
      </c>
      <c r="DD997" s="31">
        <v>5.5954556912511109</v>
      </c>
    </row>
    <row r="998" spans="107:108" ht="20.25" customHeight="1">
      <c r="DC998" s="31">
        <v>-1.4207757661669653</v>
      </c>
      <c r="DD998" s="31">
        <v>5.6011177540565926</v>
      </c>
    </row>
    <row r="999" spans="107:108" ht="20.25" customHeight="1">
      <c r="DC999" s="31">
        <v>-1.4246130343541239</v>
      </c>
      <c r="DD999" s="31">
        <v>5.6067798168620744</v>
      </c>
    </row>
    <row r="1000" spans="107:108" ht="20.25" customHeight="1">
      <c r="DC1000" s="31">
        <v>-1.4284641348640998</v>
      </c>
      <c r="DD1000" s="31">
        <v>5.6124418796675553</v>
      </c>
    </row>
    <row r="1001" spans="107:108" ht="20.25" customHeight="1">
      <c r="DC1001" s="31">
        <v>-1.4323290960311588</v>
      </c>
      <c r="DD1001" s="31">
        <v>5.618103942473037</v>
      </c>
    </row>
    <row r="1002" spans="107:108" ht="20.25" customHeight="1">
      <c r="DC1002" s="31">
        <v>-1.4362079461895587</v>
      </c>
      <c r="DD1002" s="31">
        <v>5.6237660052785188</v>
      </c>
    </row>
    <row r="1003" spans="107:108" ht="20.25" customHeight="1">
      <c r="DC1003" s="31">
        <v>-1.4401007136735617</v>
      </c>
      <c r="DD1003" s="31">
        <v>5.6294280680839996</v>
      </c>
    </row>
    <row r="1004" spans="107:108" ht="20.25" customHeight="1">
      <c r="DC1004" s="31">
        <v>-1.4440074268174308</v>
      </c>
      <c r="DD1004" s="31">
        <v>5.6350901308894814</v>
      </c>
    </row>
    <row r="1005" spans="107:108" ht="20.25" customHeight="1">
      <c r="DC1005" s="31">
        <v>-1.4479281139554261</v>
      </c>
      <c r="DD1005" s="31">
        <v>5.6407521936949632</v>
      </c>
    </row>
    <row r="1006" spans="107:108" ht="20.25" customHeight="1">
      <c r="DC1006" s="31">
        <v>-1.451862803421808</v>
      </c>
      <c r="DD1006" s="31">
        <v>5.646414256500444</v>
      </c>
    </row>
    <row r="1007" spans="107:108" ht="20.25" customHeight="1">
      <c r="DC1007" s="31">
        <v>-1.455811523550842</v>
      </c>
      <c r="DD1007" s="31">
        <v>5.6520763193059258</v>
      </c>
    </row>
    <row r="1008" spans="107:108" ht="20.25" customHeight="1">
      <c r="DC1008" s="31">
        <v>-1.4597743026767858</v>
      </c>
      <c r="DD1008" s="31">
        <v>5.6577383821114076</v>
      </c>
    </row>
    <row r="1009" spans="107:108" ht="20.25" customHeight="1">
      <c r="DC1009" s="31">
        <v>-1.4637511691339022</v>
      </c>
      <c r="DD1009" s="31">
        <v>5.6634004449168884</v>
      </c>
    </row>
    <row r="1010" spans="107:108" ht="20.25" customHeight="1">
      <c r="DC1010" s="31">
        <v>-1.4677421512564535</v>
      </c>
      <c r="DD1010" s="31">
        <v>5.6690625077223702</v>
      </c>
    </row>
    <row r="1011" spans="107:108" ht="20.25" customHeight="1">
      <c r="DC1011" s="31">
        <v>-1.4717472773787006</v>
      </c>
      <c r="DD1011" s="31">
        <v>5.674724570527852</v>
      </c>
    </row>
    <row r="1012" spans="107:108" ht="20.25" customHeight="1">
      <c r="DC1012" s="31">
        <v>-1.4757665758349048</v>
      </c>
      <c r="DD1012" s="31">
        <v>5.6803866333333337</v>
      </c>
    </row>
  </sheetData>
  <sheetProtection algorithmName="SHA-512" hashValue="/8BY3g6xmkJ/kkE7vv0e5HT+6d/56QR/BfRfr5e+MSNwRnUWsOA1yA/6V6VMMTX3OuLLZItKi3rsCEDE0B/aYA==" saltValue="Ee+vW29XR1+Cd/Kl+FdItg==" spinCount="100000" sheet="1" objects="1" scenarios="1"/>
  <phoneticPr fontId="2"/>
  <conditionalFormatting sqref="Z14:Z36">
    <cfRule type="dataBar" priority="2">
      <dataBar>
        <cfvo type="min"/>
        <cfvo type="max"/>
        <color rgb="FF638EC6"/>
      </dataBar>
      <extLst>
        <ext xmlns:x14="http://schemas.microsoft.com/office/spreadsheetml/2009/9/main" uri="{B025F937-C7B1-47D3-B67F-A62EFF666E3E}">
          <x14:id>{8372EA40-E36B-4C42-AE8E-FFAD2C5F2FA7}</x14:id>
        </ext>
      </extLst>
    </cfRule>
  </conditionalFormatting>
  <conditionalFormatting sqref="AA14:AA36">
    <cfRule type="dataBar" priority="1">
      <dataBar>
        <cfvo type="min"/>
        <cfvo type="max"/>
        <color rgb="FF63C384"/>
      </dataBar>
      <extLst>
        <ext xmlns:x14="http://schemas.microsoft.com/office/spreadsheetml/2009/9/main" uri="{B025F937-C7B1-47D3-B67F-A62EFF666E3E}">
          <x14:id>{DEDD13E3-A2B4-4E83-888B-11B8F9F0D9AC}</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8372EA40-E36B-4C42-AE8E-FFAD2C5F2FA7}">
            <x14:dataBar minLength="0" maxLength="100" border="1" negativeBarBorderColorSameAsPositive="0">
              <x14:cfvo type="autoMin"/>
              <x14:cfvo type="autoMax"/>
              <x14:borderColor rgb="FF638EC6"/>
              <x14:negativeFillColor rgb="FFFF0000"/>
              <x14:negativeBorderColor rgb="FFFF0000"/>
              <x14:axisColor rgb="FF000000"/>
            </x14:dataBar>
          </x14:cfRule>
          <xm:sqref>Z14:Z36</xm:sqref>
        </x14:conditionalFormatting>
        <x14:conditionalFormatting xmlns:xm="http://schemas.microsoft.com/office/excel/2006/main">
          <x14:cfRule type="dataBar" id="{DEDD13E3-A2B4-4E83-888B-11B8F9F0D9AC}">
            <x14:dataBar minLength="0" maxLength="100" border="1" negativeBarBorderColorSameAsPositive="0">
              <x14:cfvo type="autoMin"/>
              <x14:cfvo type="autoMax"/>
              <x14:borderColor rgb="FF63C384"/>
              <x14:negativeFillColor rgb="FFFF0000"/>
              <x14:negativeBorderColor rgb="FFFF0000"/>
              <x14:axisColor rgb="FF000000"/>
            </x14:dataBar>
          </x14:cfRule>
          <xm:sqref>AA14:AA36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CAB4C-7A09-4064-BEAB-A630894CF94F}">
  <sheetPr codeName="Sheet8">
    <tabColor theme="0" tint="-0.499984740745262"/>
  </sheetPr>
  <dimension ref="A1:BU114"/>
  <sheetViews>
    <sheetView showGridLines="0" zoomScaleNormal="100" workbookViewId="0"/>
  </sheetViews>
  <sheetFormatPr defaultColWidth="3.375" defaultRowHeight="20.25" customHeight="1"/>
  <cols>
    <col min="1" max="3" width="3.375" style="31"/>
    <col min="4" max="4" width="19.25" style="31" customWidth="1"/>
    <col min="5" max="5" width="10.375" style="31" customWidth="1"/>
    <col min="6" max="9" width="3.375" style="31"/>
    <col min="10" max="10" width="13.75" style="31" bestFit="1" customWidth="1"/>
    <col min="11" max="11" width="12.75" style="31" bestFit="1" customWidth="1"/>
    <col min="12" max="15" width="3.375" style="31"/>
    <col min="16" max="16" width="10" style="31" customWidth="1"/>
    <col min="17" max="17" width="7.5" style="31" customWidth="1"/>
    <col min="18" max="19" width="3.375" style="31"/>
    <col min="20" max="25" width="7.5" style="31" customWidth="1"/>
    <col min="26" max="26" width="8.75" style="31" customWidth="1"/>
    <col min="27" max="27" width="10" style="31" customWidth="1"/>
    <col min="28" max="48" width="3.375" style="31"/>
    <col min="49" max="49" width="9.625" style="31" customWidth="1"/>
    <col min="50" max="50" width="7.5" style="31" customWidth="1"/>
    <col min="51" max="51" width="3.375" style="31"/>
    <col min="52" max="52" width="9.625" style="31" customWidth="1"/>
    <col min="53" max="53" width="7.5" style="31" customWidth="1"/>
    <col min="54" max="57" width="3.375" style="31"/>
    <col min="58" max="58" width="9.625" style="31" customWidth="1"/>
    <col min="59" max="59" width="7.5" style="31" customWidth="1"/>
    <col min="60" max="60" width="3.375" style="31"/>
    <col min="61" max="61" width="9.625" style="31" customWidth="1"/>
    <col min="62" max="62" width="7.5" style="31" customWidth="1"/>
    <col min="63" max="64" width="3.375" style="31"/>
    <col min="65" max="65" width="9.625" style="31" customWidth="1"/>
    <col min="66" max="66" width="7.5" style="31" customWidth="1"/>
    <col min="67" max="67" width="3.375" style="31"/>
    <col min="68" max="68" width="9.625" style="31" customWidth="1"/>
    <col min="69" max="69" width="7.5" style="31" customWidth="1"/>
    <col min="70" max="72" width="3.375" style="31"/>
    <col min="73" max="73" width="5.5" style="31" bestFit="1" customWidth="1"/>
    <col min="74" max="16384" width="3.375" style="31"/>
  </cols>
  <sheetData>
    <row r="1" spans="1:73" s="40" customFormat="1" ht="20.25" customHeight="1">
      <c r="A1" s="40" t="s">
        <v>509</v>
      </c>
    </row>
    <row r="2" spans="1:73" s="40" customFormat="1" ht="30">
      <c r="B2" s="41" t="s">
        <v>253</v>
      </c>
    </row>
    <row r="3" spans="1:73" s="39" customFormat="1" ht="7.5" customHeight="1"/>
    <row r="5" spans="1:73" ht="20.25" customHeight="1">
      <c r="B5" s="31" t="s">
        <v>102</v>
      </c>
      <c r="G5" s="31" t="s">
        <v>101</v>
      </c>
      <c r="M5" s="31" t="s">
        <v>100</v>
      </c>
      <c r="BC5" s="31" t="s">
        <v>533</v>
      </c>
    </row>
    <row r="6" spans="1:73" ht="20.25" customHeight="1">
      <c r="C6" s="31" t="s">
        <v>240</v>
      </c>
      <c r="H6" s="31" t="s">
        <v>98</v>
      </c>
      <c r="N6" s="31" t="s">
        <v>239</v>
      </c>
      <c r="BD6" s="31" t="s">
        <v>534</v>
      </c>
    </row>
    <row r="7" spans="1:73" ht="20.25" customHeight="1">
      <c r="D7" s="33" t="s">
        <v>252</v>
      </c>
      <c r="E7" s="31" cm="1">
        <f t="array" ref="E7:E11">TRANSPOSE(_xlfn.ANCHORARRAY(T10))</f>
        <v>-5.7693465431492936E-3</v>
      </c>
      <c r="I7" s="31" t="s">
        <v>95</v>
      </c>
    </row>
    <row r="8" spans="1:73" ht="20.25" customHeight="1">
      <c r="D8" s="33" t="s">
        <v>251</v>
      </c>
      <c r="E8" s="31">
        <v>7.4157385592267144E-2</v>
      </c>
      <c r="P8" s="37" t="s">
        <v>202</v>
      </c>
      <c r="Q8" s="37" t="s">
        <v>201</v>
      </c>
      <c r="AZ8" s="31" t="s">
        <v>526</v>
      </c>
    </row>
    <row r="9" spans="1:73" ht="20.25" customHeight="1">
      <c r="D9" s="33" t="s">
        <v>250</v>
      </c>
      <c r="E9" s="31">
        <v>-0.36727211571550272</v>
      </c>
      <c r="I9" s="38"/>
      <c r="J9" s="37" t="s">
        <v>109</v>
      </c>
      <c r="K9" s="37" t="s">
        <v>88</v>
      </c>
      <c r="P9" s="47" t="s">
        <v>242</v>
      </c>
      <c r="Q9" s="47" t="s">
        <v>193</v>
      </c>
      <c r="T9" s="36" t="s">
        <v>249</v>
      </c>
      <c r="U9" s="36" t="s">
        <v>248</v>
      </c>
      <c r="V9" s="36" t="s">
        <v>247</v>
      </c>
      <c r="W9" s="36" t="s">
        <v>246</v>
      </c>
      <c r="X9" s="36" t="s">
        <v>245</v>
      </c>
      <c r="Z9" s="37"/>
      <c r="AX9" s="48" t="s">
        <v>210</v>
      </c>
      <c r="AZ9" s="33" t="s">
        <v>527</v>
      </c>
      <c r="BA9" s="31">
        <f>MIN(_xlfn.ANCHORARRAY(Q11))</f>
        <v>0</v>
      </c>
    </row>
    <row r="10" spans="1:73" ht="20.25" customHeight="1">
      <c r="D10" s="33" t="s">
        <v>244</v>
      </c>
      <c r="E10" s="31">
        <v>0.83158756507979192</v>
      </c>
      <c r="I10" s="37"/>
      <c r="J10" s="36" t="s">
        <v>50</v>
      </c>
      <c r="K10" s="36" t="s">
        <v>50</v>
      </c>
      <c r="P10" s="35" t="s">
        <v>84</v>
      </c>
      <c r="Q10" s="35" t="s">
        <v>84</v>
      </c>
      <c r="T10" s="31" cm="1">
        <f t="array" ref="T10:X10">LINEST(_xlfn.ANCHORARRAY(T14),_xlfn.ANCHORARRAY(U14),TRUE)</f>
        <v>-5.7693465431492936E-3</v>
      </c>
      <c r="U10" s="31">
        <v>7.4157385592267144E-2</v>
      </c>
      <c r="V10" s="31">
        <v>-0.36727211571550272</v>
      </c>
      <c r="W10" s="31">
        <v>0.83158756507979192</v>
      </c>
      <c r="X10" s="31">
        <v>-1.5054836501088742E-2</v>
      </c>
      <c r="AX10" s="32">
        <v>0.5</v>
      </c>
      <c r="AZ10" s="33" t="s">
        <v>528</v>
      </c>
      <c r="BA10" s="31">
        <f>MAX(_xlfn.ANCHORARRAY(Q11))</f>
        <v>5.6803866333333337</v>
      </c>
      <c r="BE10" s="31" t="s">
        <v>535</v>
      </c>
      <c r="BL10" s="31" t="s">
        <v>536</v>
      </c>
      <c r="BS10" s="31" t="s">
        <v>630</v>
      </c>
    </row>
    <row r="11" spans="1:73" ht="20.25" customHeight="1">
      <c r="D11" s="33" t="s">
        <v>243</v>
      </c>
      <c r="E11" s="31">
        <v>-1.5054836501088742E-2</v>
      </c>
      <c r="J11" s="32" cm="1">
        <f t="array" ref="J11:J53">_xlfn.ANCHORARRAY(B!I11)</f>
        <v>0</v>
      </c>
      <c r="K11" s="32" cm="1">
        <f t="array" ref="K11:K53">_xlfn.ANCHORARRAY(B!J11)</f>
        <v>-5.5813953500000006E-3</v>
      </c>
      <c r="P11" s="31" cm="1">
        <f t="array" ref="P11:P53">_xlfn.LET(
    _xlpm._eta_input, K11:K1011,
    _xlpm._numbers_row, _xlfn.LET(
        _xlpm._tmp, _xlfn._xlws.SORT(
            _xlfn.UNIQUE(
                _xlfn.SEQUENCE(ROWS(_xlpm._eta_input)) *
                    (LEN(TRIM(_xlpm._eta_input)) &gt; 0)
            )
        ),
        IF(
            ROWS(_xlpm._tmp) = 1,
            IF(_xlpm._tmp = 0, NA(), _xlpm._tmp),
            _xlfn.UNIQUE(IF(_xlpm._tmp = 0, INDEX(_xlpm._tmp, 2), _xlpm._tmp))
        )
    ),
    IF(
        ISNA(_xlpm._numbers_row),
        {""},
        _xlfn.CHOOSEROWS(_xlpm._eta_input, _xlpm._numbers_row)
    )
)</f>
        <v>-5.5813953500000006E-3</v>
      </c>
      <c r="Q11" s="31" cm="1">
        <f t="array" ref="Q11:Q53">_xlfn.LET(
    _xlpm._C_f_input, J11:J1011,
    _xlpm._numbers_row, _xlfn.LET(
        _xlpm._tmp, _xlfn._xlws.SORT(
            _xlfn.UNIQUE(
                _xlfn.SEQUENCE(ROWS(_xlpm._C_f_input)) *
                    (LEN(TRIM(_xlpm._C_f_input)) &gt; 0)
            )
        ),
        IF(
            ROWS(_xlpm._tmp) = 1,
            IF(_xlpm._tmp = 0, NA(), _xlpm._tmp),
            _xlfn.UNIQUE(IF(_xlpm._tmp = 0, INDEX(_xlpm._tmp, 2), _xlpm._tmp))
        )
    ),
    IF(
        ISNA(_xlpm._numbers_row),
        {""},
        _xlfn.CHOOSEROWS(_xlpm._C_f_input, _xlpm._numbers_row)
    )
)</f>
        <v>0</v>
      </c>
      <c r="AW11" s="37" t="s">
        <v>202</v>
      </c>
      <c r="AX11" s="37" t="s">
        <v>201</v>
      </c>
      <c r="AZ11" s="37" t="s">
        <v>202</v>
      </c>
      <c r="BA11" s="37" t="s">
        <v>201</v>
      </c>
      <c r="BF11" s="37" t="s">
        <v>202</v>
      </c>
      <c r="BG11" s="37" t="s">
        <v>201</v>
      </c>
      <c r="BI11" s="37" t="s">
        <v>202</v>
      </c>
      <c r="BJ11" s="37" t="s">
        <v>201</v>
      </c>
      <c r="BM11" s="37" t="s">
        <v>202</v>
      </c>
      <c r="BN11" s="37" t="s">
        <v>201</v>
      </c>
      <c r="BP11" s="37" t="s">
        <v>202</v>
      </c>
      <c r="BQ11" s="37" t="s">
        <v>201</v>
      </c>
      <c r="BT11" s="37" t="s">
        <v>202</v>
      </c>
      <c r="BU11" s="37" t="s">
        <v>201</v>
      </c>
    </row>
    <row r="12" spans="1:73" ht="20.25" customHeight="1">
      <c r="J12" s="31">
        <v>8.2457225308641968E-2</v>
      </c>
      <c r="K12" s="31">
        <v>5.3953488370000004E-2</v>
      </c>
      <c r="P12" s="31">
        <v>5.3953488370000004E-2</v>
      </c>
      <c r="Q12" s="31">
        <v>8.2457225308641968E-2</v>
      </c>
      <c r="T12" s="44" t="s">
        <v>196</v>
      </c>
      <c r="Y12" s="44" t="s">
        <v>195</v>
      </c>
      <c r="AW12" s="47" t="s">
        <v>242</v>
      </c>
      <c r="AX12" s="47" t="s">
        <v>193</v>
      </c>
      <c r="AZ12" s="47" t="s">
        <v>242</v>
      </c>
      <c r="BA12" s="47" t="s">
        <v>193</v>
      </c>
      <c r="BF12" s="47" t="s">
        <v>242</v>
      </c>
      <c r="BG12" s="47" t="s">
        <v>110</v>
      </c>
      <c r="BI12" s="47" t="s">
        <v>242</v>
      </c>
      <c r="BJ12" s="47" t="s">
        <v>110</v>
      </c>
      <c r="BM12" s="47" t="s">
        <v>242</v>
      </c>
      <c r="BN12" s="47" t="s">
        <v>110</v>
      </c>
      <c r="BP12" s="47" t="s">
        <v>242</v>
      </c>
      <c r="BQ12" s="47" t="s">
        <v>110</v>
      </c>
      <c r="BT12" s="47" t="s">
        <v>332</v>
      </c>
      <c r="BU12" s="47" t="s">
        <v>110</v>
      </c>
    </row>
    <row r="13" spans="1:73" ht="20.25" customHeight="1">
      <c r="C13" s="31" t="s">
        <v>525</v>
      </c>
      <c r="J13" s="31">
        <v>0.15575253666666669</v>
      </c>
      <c r="K13" s="31">
        <v>0.1023255814</v>
      </c>
      <c r="P13" s="31">
        <v>0.1023255814</v>
      </c>
      <c r="Q13" s="31">
        <v>0.15575253666666669</v>
      </c>
      <c r="T13" s="46" t="s">
        <v>186</v>
      </c>
      <c r="U13" s="46" t="s">
        <v>185</v>
      </c>
      <c r="V13" s="35" t="s">
        <v>184</v>
      </c>
      <c r="W13" s="35" t="s">
        <v>183</v>
      </c>
      <c r="X13" s="35" t="s">
        <v>182</v>
      </c>
      <c r="Y13" s="46" t="s">
        <v>181</v>
      </c>
      <c r="Z13" s="35" t="s">
        <v>180</v>
      </c>
      <c r="AA13" s="35" t="s">
        <v>179</v>
      </c>
      <c r="AW13" s="35" t="s">
        <v>84</v>
      </c>
      <c r="AX13" s="35" t="s">
        <v>84</v>
      </c>
      <c r="AZ13" s="35" t="s">
        <v>84</v>
      </c>
      <c r="BA13" s="35" t="s">
        <v>84</v>
      </c>
      <c r="BF13" s="35" t="s">
        <v>84</v>
      </c>
      <c r="BG13" s="35" t="s">
        <v>92</v>
      </c>
      <c r="BI13" s="35" t="str" cm="1">
        <f t="array" ref="BI13">INDEX(入力1!$Q$16:$Q$20,入力1!$Q$15)</f>
        <v>%</v>
      </c>
      <c r="BJ13" s="35" t="str" cm="1">
        <f t="array" ref="BJ13">INDEX(入力1!$O$16:$O$20,入力1!$O$15)</f>
        <v>L/s</v>
      </c>
      <c r="BM13" s="35" t="s">
        <v>84</v>
      </c>
      <c r="BN13" s="35" t="s">
        <v>92</v>
      </c>
      <c r="BP13" s="35" t="str" cm="1">
        <f t="array" ref="BP13">INDEX(入力1!$Q$16:$Q$20,入力1!$Q$15)</f>
        <v>%</v>
      </c>
      <c r="BQ13" s="35" t="str" cm="1">
        <f t="array" ref="BQ13">INDEX(入力1!$O$16:$O$20,入力1!$O$15)</f>
        <v>L/s</v>
      </c>
      <c r="BT13" s="35" t="str" cm="1">
        <f t="array" ref="BT13">INDEX(入力1!$P$16:$P$20,入力1!$P$15)</f>
        <v>m</v>
      </c>
      <c r="BU13" s="35" t="str" cm="1">
        <f t="array" ref="BU13">INDEX(入力1!$O$16:$O$20,入力1!$O$15)</f>
        <v>L/s</v>
      </c>
    </row>
    <row r="14" spans="1:73" ht="20.25" customHeight="1">
      <c r="D14" s="33" t="s">
        <v>339</v>
      </c>
      <c r="E14" s="31">
        <f>BA9</f>
        <v>0</v>
      </c>
      <c r="F14" s="31" t="s">
        <v>84</v>
      </c>
      <c r="J14" s="31">
        <v>0.22904784814814819</v>
      </c>
      <c r="K14" s="31">
        <v>0.1451162791</v>
      </c>
      <c r="P14" s="31">
        <v>0.1451162791</v>
      </c>
      <c r="Q14" s="31">
        <v>0.22904784814814819</v>
      </c>
      <c r="T14" s="31" cm="1">
        <f t="array" ref="T14:T56">_xlfn.ANCHORARRAY(P11)</f>
        <v>-5.5813953500000006E-3</v>
      </c>
      <c r="U14" s="44" cm="1">
        <f t="array" ref="U14:X56">_xlfn.ANCHORARRAY(Q11)^{1,2,3,4}</f>
        <v>0</v>
      </c>
      <c r="V14" s="31">
        <v>0</v>
      </c>
      <c r="W14" s="31">
        <v>0</v>
      </c>
      <c r="X14" s="31">
        <v>0</v>
      </c>
      <c r="Y14" s="44" cm="1">
        <f t="array" ref="Y14:Y56">_xlfn.LET(
    _xlpm._coefficient,_xlfn.ANCHORARRAY( T10),
    _xlpm._values_x,_xlfn.ANCHORARRAY( Q11),
    _xlfn.MAP(
        _xlpm._values_x,
        _xlfn.LAMBDA(_xlpm._x,
            SUM(
                _xlpm._coefficient *
                    _xlfn.HSTACK(_xlpm._x ^ {4,3,2,1}, 1)
            )
        )
    )
)</f>
        <v>-1.5054836501088742E-2</v>
      </c>
      <c r="Z14" s="31" cm="1">
        <f t="array" ref="Z14:Z56">_xlfn.ANCHORARRAY(Y14)-_xlfn.ANCHORARRAY(T14)</f>
        <v>-9.4734411510887413E-3</v>
      </c>
      <c r="AA14" s="43" cm="1">
        <f t="array" ref="AA14:AA56">_xlfn.ANCHORARRAY(Z14) /_xlfn.ANCHORARRAY( T14)</f>
        <v>1.69732487254979</v>
      </c>
      <c r="AW14" s="31" cm="1">
        <f t="array" ref="AW14:AW114">_xlfn.LET(
    _xlpm._coefficient,_xlfn.ANCHORARRAY( T10),
    _xlpm._values_x,_xlfn.ANCHORARRAY( AX14),
    _xlfn.MAP(
        _xlpm._values_x,
        _xlfn.LAMBDA(_xlpm._x,
            SUM(
                _xlpm._coefficient *
                    _xlfn.HSTACK(_xlpm._x ^ {4,3,2,1}, 1)
            )
        )
    )
)</f>
        <v>-2.1724989861495265</v>
      </c>
      <c r="AX14" s="31" cm="1">
        <f t="array" ref="AX14:AX114">_xlfn.LET(
    _xlpm._number_divisions, 100,
    _xlpm._rate_extrapolation, AX10,
    _xlpm._values_x,_xlfn.ANCHORARRAY( Q11),
    _xlpm._x0, _xlfn.TAKE(_xlpm._values_x, 1),
    _xlpm._x1, _xlfn.TAKE(_xlpm._values_x, -1),
    _xlpm._extrapolation, (_xlpm._x1 - _xlpm._x0) * _xlpm._rate_extrapolation,
    ((_xlpm._x1 - _xlpm._x0) + _xlpm._extrapolation) / _xlpm._number_divisions *
        (_xlfn.SEQUENCE(_xlpm._number_divisions + 1) - 1) + _xlpm._x0 -
        _xlpm._extrapolation / 2
)</f>
        <v>-1.4200966583333334</v>
      </c>
      <c r="AZ14" s="31" cm="1">
        <f t="array" ref="AZ14:AZ114">_xlfn.LET(
    _xlpm._coefficient,_xlfn.ANCHORARRAY( T10),
    _xlpm._values_x,_xlfn.ANCHORARRAY( BA14),
    _xlfn.MAP(
        _xlpm._values_x,
        _xlfn.LAMBDA(_xlpm._x,
            SUM(
                _xlpm._coefficient *
                    _xlfn.HSTACK(_xlpm._x ^ {4,3,2,1}, 1)
            )
        )
    )
)</f>
        <v>-1.5054836501088742E-2</v>
      </c>
      <c r="BA14" s="31" cm="1">
        <f t="array" ref="BA14:BA114">_xlfn.LET(
    _xlpm._number_of_divsions, 100,
    _xlpm._C_f_min, BA9,
    _xlpm._C_f_max, BA10,
    (_xlpm._C_f_max - _xlpm._C_f_min) / _xlpm._number_of_divsions *
        (_xlfn.SEQUENCE(_xlpm._number_of_divsions + 1) - 1) + _xlpm._C_f_min
)</f>
        <v>0</v>
      </c>
      <c r="BF14" s="31" cm="1">
        <f t="array" ref="BF14:BF114">_xlfn.ANCHORARRAY(AZ14)</f>
        <v>-1.5054836501088742E-2</v>
      </c>
      <c r="BG14" s="31" cm="1">
        <f t="array" ref="BG14:BG114">_xlfn.LET(
    _xlpm._rho, B!$T$7,
    _xlpm._D, B!$T$9,
    _xlpm._N_r, B!$T$10,
    _xlpm._C_f,_xlfn.ANCHORARRAY( BA14),
    _xlpm._C_f * _xlpm._rho ^ 1 * _xlpm._N_r ^ 1 * _xlpm._D ^ 3
)</f>
        <v>0</v>
      </c>
      <c r="BI14" s="31" cm="1">
        <f t="array" ref="BI14:BI114">_xlfn.LET(
    _xlpm._number_unit, 入力1!Q15,
    _xlpm._convert_percentage_To_rate, 10 ^ -2,
    _xlpm._eta,_xlfn.ANCHORARRAY( BF14),
    _xlpm._eta_sample, IF(
        _xlpm._number_unit = 1,
        _xlpm._eta,
        IF(_xlpm._number_unit = 2, _xlpm._eta * _xlpm._convert_percentage_To_rate ^ -1, NA())
    ),
    _xlpm._eta_sample
)</f>
        <v>-1.5054836501088742</v>
      </c>
      <c r="BJ14" s="31" cm="1">
        <f t="array" ref="BJ14:BJ114">_xlfn.LET(
    _xlpm._number_unit, 入力1!O15,
    _xlpm._density_water__kg_per_cubic_m, 10 ^ 3,
    _xlpm._convert_units_from__per_h__to__per_s, 60 ^ -2,
    _xlpm._convert_units_from__per_min__to__per_s, 60 ^ -1,
    _xlpm._convert_units_from__litre__to__cubic_m, 10 ^ -3,
    _xlpm._m,_xlfn.ANCHORARRAY( BG14),
    _xlpm._m_sample, _xlfn.SWITCH(
        _xlpm._number_unit,
        1, _xlpm._m * _xlpm._density_water__kg_per_cubic_m ^ -1 *
            _xlpm._convert_units_from__per_h__to__per_s ^ -1,
        2, _xlpm._m * _xlpm._density_water__kg_per_cubic_m ^ -1 *
            _xlpm._convert_units_from__per_min__to__per_s ^
                -1,
        3, _xlpm._m *
            _xlpm._convert_units_from__litre__to__cubic_m ^
                -1 *
            _xlpm._density_water__kg_per_cubic_m ^ -1 *
            _xlpm._convert_units_from__per_h__to__per_s ^ -1,
        4, _xlpm._m *
            _xlpm._convert_units_from__litre__to__cubic_m ^
                -1 *
            _xlpm._density_water__kg_per_cubic_m ^ -1 *
            _xlpm._convert_units_from__per_min__to__per_s ^
                -1,
        5, _xlpm._m *
            _xlpm._convert_units_from__litre__to__cubic_m ^
                -1 *
            _xlpm._density_water__kg_per_cubic_m ^ -1,
        NA()
    ),
    _xlpm._m_sample
)</f>
        <v>0</v>
      </c>
      <c r="BM14" s="31" cm="1">
        <f t="array" ref="BM14:BM56">_xlfn.ANCHORARRAY(P11)</f>
        <v>-5.5813953500000006E-3</v>
      </c>
      <c r="BN14" s="31" cm="1">
        <f t="array" ref="BN14:BN114">_xlfn.LET(
    _xlpm._rho, B!$T$7,
    _xlpm._D, B!$T$9,
    _xlpm._N_r, B!$T$10,
    _xlpm._C_f, Q11:Q111,
    _xlpm._C_f * _xlpm._rho ^ 1 * _xlpm._N_r ^ 1 * _xlpm._D ^ 3
)</f>
        <v>0</v>
      </c>
      <c r="BP14" s="31" cm="1">
        <f t="array" ref="BP14:BP56">_xlfn.LET(
    _xlpm._number_unit, 入力1!Q15,
    _xlpm._convert_percentage_To_rate, 10 ^ -2,
    _xlpm._eta,_xlfn.ANCHORARRAY( BM14),
    _xlpm._eta_sample, IF(
        _xlpm._number_unit = 1,
        _xlpm._eta,
        IF(_xlpm._number_unit = 2, _xlpm._eta * _xlpm._convert_percentage_To_rate ^ -1, NA())
    ),
    _xlpm._eta_sample
)</f>
        <v>-0.55813953500000002</v>
      </c>
      <c r="BQ14" s="31" cm="1">
        <f t="array" ref="BQ14:BQ114">_xlfn.LET(
    _xlpm._number_unit, 入力1!O15,
    _xlpm._density_water__kg_per_cubic_m, 10 ^ 3,
    _xlpm._convert_units_from__per_h__to__per_s, 60 ^ -2,
    _xlpm._convert_units_from__per_min__to__per_s, 60 ^ -1,
    _xlpm._convert_units_from__litre__to__cubic_m, 10 ^ -3,
    _xlpm._m,_xlfn.ANCHORARRAY( BN14),
    _xlpm._m_sample, _xlfn.SWITCH(
        _xlpm._number_unit,
        1, _xlpm._m * _xlpm._density_water__kg_per_cubic_m ^ -1 *
            _xlpm._convert_units_from__per_h__to__per_s ^ -1,
        2, _xlpm._m * _xlpm._density_water__kg_per_cubic_m ^ -1 *
            _xlpm._convert_units_from__per_min__to__per_s ^
                -1,
        3, _xlpm._m *
            _xlpm._convert_units_from__litre__to__cubic_m ^
                -1 *
            _xlpm._density_water__kg_per_cubic_m ^ -1 *
            _xlpm._convert_units_from__per_h__to__per_s ^ -1,
        4, _xlpm._m *
            _xlpm._convert_units_from__litre__to__cubic_m ^
                -1 *
            _xlpm._density_water__kg_per_cubic_m ^ -1 *
            _xlpm._convert_units_from__per_min__to__per_s ^
                -1,
        5, _xlpm._m *
            _xlpm._convert_units_from__litre__to__cubic_m ^
                -1 *
            _xlpm._density_water__kg_per_cubic_m ^ -1,
        NA()
    ),
    _xlpm._m_sample
)</f>
        <v>0</v>
      </c>
      <c r="BT14" s="31">
        <v>0</v>
      </c>
      <c r="BU14" s="31">
        <f>入力2!I7</f>
        <v>2550</v>
      </c>
    </row>
    <row r="15" spans="1:73" ht="20.25" customHeight="1">
      <c r="D15" s="33" t="s">
        <v>340</v>
      </c>
      <c r="E15" s="31">
        <f t="shared" ref="E15" si="0">BA10</f>
        <v>5.6803866333333337</v>
      </c>
      <c r="F15" s="31" t="s">
        <v>84</v>
      </c>
      <c r="J15" s="31">
        <v>0.29318124555555558</v>
      </c>
      <c r="K15" s="31">
        <v>0.18790697670000001</v>
      </c>
      <c r="P15" s="31">
        <v>0.18790697670000001</v>
      </c>
      <c r="Q15" s="31">
        <v>0.29318124555555558</v>
      </c>
      <c r="T15" s="31">
        <v>5.3953488370000004E-2</v>
      </c>
      <c r="U15" s="44">
        <v>8.2457225308641968E-2</v>
      </c>
      <c r="V15" s="31">
        <v>6.7991940056001459E-3</v>
      </c>
      <c r="W15" s="31">
        <v>5.6064267203693909E-4</v>
      </c>
      <c r="X15" s="31">
        <v>4.6229039125788961E-5</v>
      </c>
      <c r="Y15" s="44">
        <v>5.1059721432426347E-2</v>
      </c>
      <c r="Z15" s="31">
        <v>-2.8937669375736566E-3</v>
      </c>
      <c r="AA15" s="43">
        <v>-5.3634473414006179E-2</v>
      </c>
      <c r="AW15" s="31">
        <v>-1.9743045340339975</v>
      </c>
      <c r="AX15" s="31">
        <v>-1.3348908588333335</v>
      </c>
      <c r="AZ15" s="31">
        <v>3.1011015163351772E-2</v>
      </c>
      <c r="BA15" s="31">
        <v>5.6803866333333335E-2</v>
      </c>
      <c r="BF15" s="31">
        <v>3.1011015163351772E-2</v>
      </c>
      <c r="BG15" s="31">
        <v>46.011131730000002</v>
      </c>
      <c r="BI15" s="31">
        <v>3.1011015163351772</v>
      </c>
      <c r="BJ15" s="31">
        <v>46.011131730000002</v>
      </c>
      <c r="BM15" s="31">
        <v>5.3953488370000004E-2</v>
      </c>
      <c r="BN15" s="31">
        <v>66.790352499999997</v>
      </c>
      <c r="BP15" s="31">
        <v>5.3953488370000002</v>
      </c>
      <c r="BQ15" s="31">
        <v>66.790352499999997</v>
      </c>
      <c r="BT15" s="31">
        <v>1</v>
      </c>
      <c r="BU15" s="31">
        <f>BU14</f>
        <v>2550</v>
      </c>
    </row>
    <row r="16" spans="1:73" ht="20.25" customHeight="1">
      <c r="J16" s="31">
        <v>0.3756384708641976</v>
      </c>
      <c r="K16" s="31">
        <v>0.23255813950000001</v>
      </c>
      <c r="P16" s="31">
        <v>0.23255813950000001</v>
      </c>
      <c r="Q16" s="31">
        <v>0.3756384708641976</v>
      </c>
      <c r="T16" s="31">
        <v>0.1023255814</v>
      </c>
      <c r="U16" s="44">
        <v>0.15575253666666669</v>
      </c>
      <c r="V16" s="31">
        <v>2.4258852678101354E-2</v>
      </c>
      <c r="W16" s="31">
        <v>3.7783778412372464E-3</v>
      </c>
      <c r="X16" s="31">
        <v>5.884919332578252E-4</v>
      </c>
      <c r="Y16" s="44">
        <v>0.10583423548121375</v>
      </c>
      <c r="Z16" s="31">
        <v>3.508654081213744E-3</v>
      </c>
      <c r="AA16" s="43">
        <v>3.428911942848481E-2</v>
      </c>
      <c r="AW16" s="31">
        <v>-1.7866512597024851</v>
      </c>
      <c r="AX16" s="31">
        <v>-1.2496850593333335</v>
      </c>
      <c r="AZ16" s="31">
        <v>7.4787440159153729E-2</v>
      </c>
      <c r="BA16" s="31">
        <v>0.11360773266666667</v>
      </c>
      <c r="BF16" s="31">
        <v>7.4787440159153729E-2</v>
      </c>
      <c r="BG16" s="31">
        <v>92.022263460000005</v>
      </c>
      <c r="BI16" s="31">
        <v>7.4787440159153729</v>
      </c>
      <c r="BJ16" s="31">
        <v>92.022263460000005</v>
      </c>
      <c r="BM16" s="31">
        <v>0.1023255814</v>
      </c>
      <c r="BN16" s="31">
        <v>126.1595547</v>
      </c>
      <c r="BP16" s="31">
        <v>10.23255814</v>
      </c>
      <c r="BQ16" s="31">
        <v>126.15955470000002</v>
      </c>
    </row>
    <row r="17" spans="10:69" ht="20.25" customHeight="1">
      <c r="J17" s="31">
        <v>0.46725761012345685</v>
      </c>
      <c r="K17" s="31">
        <v>0.2958139535</v>
      </c>
      <c r="P17" s="31">
        <v>0.2958139535</v>
      </c>
      <c r="Q17" s="31">
        <v>0.46725761012345685</v>
      </c>
      <c r="T17" s="31">
        <v>0.1451162791</v>
      </c>
      <c r="U17" s="44">
        <v>0.22904784814814819</v>
      </c>
      <c r="V17" s="31">
        <v>5.2462916741297154E-2</v>
      </c>
      <c r="W17" s="31">
        <v>1.2016518187169572E-2</v>
      </c>
      <c r="X17" s="31">
        <v>2.752357633004277E-3</v>
      </c>
      <c r="Y17" s="44">
        <v>0.1570255736667002</v>
      </c>
      <c r="Z17" s="31">
        <v>1.1909294566700201E-2</v>
      </c>
      <c r="AA17" s="43">
        <v>8.2067254208561091E-2</v>
      </c>
      <c r="AW17" s="31">
        <v>-1.6091532331109755</v>
      </c>
      <c r="AX17" s="31">
        <v>-1.1644792598333336</v>
      </c>
      <c r="AZ17" s="31">
        <v>0.11635382895214674</v>
      </c>
      <c r="BA17" s="31">
        <v>0.170411599</v>
      </c>
      <c r="BF17" s="31">
        <v>0.11635382895214674</v>
      </c>
      <c r="BG17" s="31">
        <v>138.03339518999999</v>
      </c>
      <c r="BI17" s="31">
        <v>11.635382895214674</v>
      </c>
      <c r="BJ17" s="31">
        <v>138.03339518999999</v>
      </c>
      <c r="BM17" s="31">
        <v>0.1451162791</v>
      </c>
      <c r="BN17" s="31">
        <v>185.52875700000001</v>
      </c>
      <c r="BP17" s="31">
        <v>14.51162791</v>
      </c>
      <c r="BQ17" s="31">
        <v>185.52875700000001</v>
      </c>
    </row>
    <row r="18" spans="10:69" ht="20.25" customHeight="1">
      <c r="J18" s="31">
        <v>0.59552440506172843</v>
      </c>
      <c r="K18" s="31">
        <v>0.36465116279999998</v>
      </c>
      <c r="P18" s="31">
        <v>0.36465116279999998</v>
      </c>
      <c r="Q18" s="31">
        <v>0.59552440506172843</v>
      </c>
      <c r="T18" s="31">
        <v>0.18790697670000001</v>
      </c>
      <c r="U18" s="44">
        <v>0.29318124555555558</v>
      </c>
      <c r="V18" s="31">
        <v>8.5955242745506977E-2</v>
      </c>
      <c r="W18" s="31">
        <v>2.5200465130157869E-2</v>
      </c>
      <c r="X18" s="31">
        <v>7.3883037554390296E-3</v>
      </c>
      <c r="Y18" s="44">
        <v>0.19900825268256475</v>
      </c>
      <c r="Z18" s="31">
        <v>1.1101275982564746E-2</v>
      </c>
      <c r="AA18" s="43">
        <v>5.907857269338284E-2</v>
      </c>
      <c r="AW18" s="31">
        <v>-1.4414318223941247</v>
      </c>
      <c r="AX18" s="31">
        <v>-1.0792734603333334</v>
      </c>
      <c r="AZ18" s="31">
        <v>0.15578813039262063</v>
      </c>
      <c r="BA18" s="31">
        <v>0.22721546533333334</v>
      </c>
      <c r="BF18" s="31">
        <v>0.15578813039262063</v>
      </c>
      <c r="BG18" s="31">
        <v>184.04452692000001</v>
      </c>
      <c r="BI18" s="31">
        <v>15.578813039262062</v>
      </c>
      <c r="BJ18" s="31">
        <v>184.04452692000001</v>
      </c>
      <c r="BM18" s="31">
        <v>0.18790697670000001</v>
      </c>
      <c r="BN18" s="31">
        <v>237.47680890000001</v>
      </c>
      <c r="BP18" s="31">
        <v>18.79069767</v>
      </c>
      <c r="BQ18" s="31">
        <v>237.47680890000001</v>
      </c>
    </row>
    <row r="19" spans="10:69" ht="20.25" customHeight="1">
      <c r="J19" s="31">
        <v>0.71462928604938281</v>
      </c>
      <c r="K19" s="31">
        <v>0.41860465120000001</v>
      </c>
      <c r="P19" s="31">
        <v>0.41860465120000001</v>
      </c>
      <c r="Q19" s="31">
        <v>0.71462928604938281</v>
      </c>
      <c r="T19" s="31">
        <v>0.23255813950000001</v>
      </c>
      <c r="U19" s="44">
        <v>0.3756384708641976</v>
      </c>
      <c r="V19" s="31">
        <v>0.14110426079319263</v>
      </c>
      <c r="W19" s="31">
        <v>5.3004188756777829E-2</v>
      </c>
      <c r="X19" s="31">
        <v>1.9910412413993318E-2</v>
      </c>
      <c r="Y19" s="44">
        <v>0.24931356643178615</v>
      </c>
      <c r="Z19" s="31">
        <v>1.6755426931786138E-2</v>
      </c>
      <c r="AA19" s="43">
        <v>7.2048335817487638E-2</v>
      </c>
      <c r="AW19" s="31">
        <v>-1.283115693865261</v>
      </c>
      <c r="AX19" s="31">
        <v>-0.99406766083333342</v>
      </c>
      <c r="AZ19" s="31">
        <v>0.19316685171532533</v>
      </c>
      <c r="BA19" s="31">
        <v>0.28401933166666665</v>
      </c>
      <c r="BF19" s="31">
        <v>0.19316685171532533</v>
      </c>
      <c r="BG19" s="31">
        <v>230.05565864999997</v>
      </c>
      <c r="BI19" s="31">
        <v>19.316685171532534</v>
      </c>
      <c r="BJ19" s="31">
        <v>230.05565864999997</v>
      </c>
      <c r="BM19" s="31">
        <v>0.23255813950000001</v>
      </c>
      <c r="BN19" s="31">
        <v>304.26716140000008</v>
      </c>
      <c r="BP19" s="31">
        <v>23.25581395</v>
      </c>
      <c r="BQ19" s="31">
        <v>304.26716140000008</v>
      </c>
    </row>
    <row r="20" spans="10:69" ht="20.25" customHeight="1">
      <c r="J20" s="31">
        <v>0.86121990888888922</v>
      </c>
      <c r="K20" s="31">
        <v>0.48930232560000003</v>
      </c>
      <c r="P20" s="31">
        <v>0.48930232560000003</v>
      </c>
      <c r="Q20" s="31">
        <v>0.86121990888888922</v>
      </c>
      <c r="T20" s="31">
        <v>0.2958139535</v>
      </c>
      <c r="U20" s="44">
        <v>0.46725761012345685</v>
      </c>
      <c r="V20" s="31">
        <v>0.21832967421828439</v>
      </c>
      <c r="W20" s="31">
        <v>0.10201620179426847</v>
      </c>
      <c r="X20" s="31">
        <v>4.7667846644262199E-2</v>
      </c>
      <c r="Y20" s="44">
        <v>0.30061462287971336</v>
      </c>
      <c r="Z20" s="31">
        <v>4.8006693797133515E-3</v>
      </c>
      <c r="AA20" s="43">
        <v>1.6228677933927654E-2</v>
      </c>
      <c r="AW20" s="31">
        <v>-1.1338408120163814</v>
      </c>
      <c r="AX20" s="31">
        <v>-0.90886186133333347</v>
      </c>
      <c r="AZ20" s="31">
        <v>0.22856505853947096</v>
      </c>
      <c r="BA20" s="31">
        <v>0.34082319799999999</v>
      </c>
      <c r="BF20" s="31">
        <v>0.22856505853947096</v>
      </c>
      <c r="BG20" s="31">
        <v>276.06679037999999</v>
      </c>
      <c r="BI20" s="31">
        <v>22.856505853947095</v>
      </c>
      <c r="BJ20" s="31">
        <v>276.06679037999999</v>
      </c>
      <c r="BM20" s="31">
        <v>0.2958139535</v>
      </c>
      <c r="BN20" s="31">
        <v>378.47866420000003</v>
      </c>
      <c r="BP20" s="31">
        <v>29.581395350000001</v>
      </c>
      <c r="BQ20" s="31">
        <v>378.47866420000003</v>
      </c>
    </row>
    <row r="21" spans="10:69" ht="20.25" customHeight="1">
      <c r="J21" s="31">
        <v>0.94367713419753085</v>
      </c>
      <c r="K21" s="31">
        <v>0.51906976739999999</v>
      </c>
      <c r="P21" s="31">
        <v>0.51906976739999999</v>
      </c>
      <c r="Q21" s="31">
        <v>0.94367713419753085</v>
      </c>
      <c r="T21" s="31">
        <v>0.36465116279999998</v>
      </c>
      <c r="U21" s="44">
        <v>0.59552440506172843</v>
      </c>
      <c r="V21" s="31">
        <v>0.35464931702412561</v>
      </c>
      <c r="W21" s="31">
        <v>0.21120232352634072</v>
      </c>
      <c r="X21" s="31">
        <v>0.12577613806567875</v>
      </c>
      <c r="Y21" s="44">
        <v>0.36485961446564275</v>
      </c>
      <c r="Z21" s="31">
        <v>2.0845166564276152E-4</v>
      </c>
      <c r="AA21" s="43">
        <v>5.7164678714350043E-4</v>
      </c>
      <c r="AW21" s="31">
        <v>-0.99325043951815362</v>
      </c>
      <c r="AX21" s="31">
        <v>-0.8236560618333334</v>
      </c>
      <c r="AZ21" s="31">
        <v>0.26205637486872779</v>
      </c>
      <c r="BA21" s="31">
        <v>0.39762706433333334</v>
      </c>
      <c r="BF21" s="31">
        <v>0.26205637486872779</v>
      </c>
      <c r="BG21" s="31">
        <v>322.07792210999997</v>
      </c>
      <c r="BI21" s="31">
        <v>26.205637486872778</v>
      </c>
      <c r="BJ21" s="31">
        <v>322.07792210999997</v>
      </c>
      <c r="BM21" s="31">
        <v>0.36465116279999998</v>
      </c>
      <c r="BN21" s="31">
        <v>482.37476809999998</v>
      </c>
      <c r="BP21" s="31">
        <v>36.465116279999997</v>
      </c>
      <c r="BQ21" s="31">
        <v>482.37476809999998</v>
      </c>
    </row>
    <row r="22" spans="10:69" ht="20.25" customHeight="1">
      <c r="J22" s="31">
        <v>1.0261343595061732</v>
      </c>
      <c r="K22" s="31">
        <v>0.54139534879999995</v>
      </c>
      <c r="P22" s="31">
        <v>0.54139534879999995</v>
      </c>
      <c r="Q22" s="31">
        <v>1.0261343595061732</v>
      </c>
      <c r="T22" s="31">
        <v>0.41860465120000001</v>
      </c>
      <c r="U22" s="44">
        <v>0.71462928604938281</v>
      </c>
      <c r="V22" s="31">
        <v>0.51069501647945059</v>
      </c>
      <c r="W22" s="31">
        <v>0.36495761501568758</v>
      </c>
      <c r="X22" s="31">
        <v>0.26080939985694629</v>
      </c>
      <c r="Y22" s="44">
        <v>0.41721755500372332</v>
      </c>
      <c r="Z22" s="31">
        <v>-1.3870961962766937E-3</v>
      </c>
      <c r="AA22" s="43">
        <v>-3.3136186908108911E-3</v>
      </c>
      <c r="AW22" s="31">
        <v>-0.8609951372199165</v>
      </c>
      <c r="AX22" s="31">
        <v>-0.73845026233333344</v>
      </c>
      <c r="AZ22" s="31">
        <v>0.2937129830912264</v>
      </c>
      <c r="BA22" s="31">
        <v>0.45443093066666668</v>
      </c>
      <c r="BF22" s="31">
        <v>0.2937129830912264</v>
      </c>
      <c r="BG22" s="31">
        <v>368.08905384000002</v>
      </c>
      <c r="BI22" s="31">
        <v>29.37129830912264</v>
      </c>
      <c r="BJ22" s="31">
        <v>368.08905384000002</v>
      </c>
      <c r="BM22" s="31">
        <v>0.41860465120000001</v>
      </c>
      <c r="BN22" s="31">
        <v>578.84972170000003</v>
      </c>
      <c r="BP22" s="31">
        <v>41.860465120000001</v>
      </c>
      <c r="BQ22" s="31">
        <v>578.84972170000003</v>
      </c>
    </row>
    <row r="23" spans="10:69" ht="20.25" customHeight="1">
      <c r="J23" s="31">
        <v>1.0994296708641975</v>
      </c>
      <c r="K23" s="31">
        <v>0.56186046509999998</v>
      </c>
      <c r="P23" s="31">
        <v>0.56186046509999998</v>
      </c>
      <c r="Q23" s="31">
        <v>1.0994296708641975</v>
      </c>
      <c r="T23" s="31">
        <v>0.48930232560000003</v>
      </c>
      <c r="U23" s="44">
        <v>0.86121990888888922</v>
      </c>
      <c r="V23" s="31">
        <v>0.74169973146658663</v>
      </c>
      <c r="W23" s="31">
        <v>0.63876657515656732</v>
      </c>
      <c r="X23" s="31">
        <v>0.55011849165760673</v>
      </c>
      <c r="Y23" s="44">
        <v>0.47291473592787947</v>
      </c>
      <c r="Z23" s="31">
        <v>-1.6387589672120562E-2</v>
      </c>
      <c r="AA23" s="43">
        <v>-3.349174695220488E-2</v>
      </c>
      <c r="AW23" s="31">
        <v>-0.73673276414967892</v>
      </c>
      <c r="AX23" s="31">
        <v>-0.65324446283333348</v>
      </c>
      <c r="AZ23" s="31">
        <v>0.32360562397955711</v>
      </c>
      <c r="BA23" s="31">
        <v>0.51123479699999996</v>
      </c>
      <c r="BF23" s="31">
        <v>0.32360562397955711</v>
      </c>
      <c r="BG23" s="31">
        <v>414.10018556999995</v>
      </c>
      <c r="BI23" s="31">
        <v>32.360562397955711</v>
      </c>
      <c r="BJ23" s="31">
        <v>414.10018557000001</v>
      </c>
      <c r="BM23" s="31">
        <v>0.48930232560000003</v>
      </c>
      <c r="BN23" s="31">
        <v>697.58812620000026</v>
      </c>
      <c r="BP23" s="31">
        <v>48.93023256</v>
      </c>
      <c r="BQ23" s="31">
        <v>697.58812620000026</v>
      </c>
    </row>
    <row r="24" spans="10:69" ht="20.25" customHeight="1">
      <c r="J24" s="31">
        <v>1.1727249822222223</v>
      </c>
      <c r="K24" s="31">
        <v>0.58046511629999997</v>
      </c>
      <c r="P24" s="31">
        <v>0.58046511629999997</v>
      </c>
      <c r="Q24" s="31">
        <v>1.1727249822222223</v>
      </c>
      <c r="T24" s="31">
        <v>0.51906976739999999</v>
      </c>
      <c r="U24" s="44">
        <v>0.94367713419753085</v>
      </c>
      <c r="V24" s="31">
        <v>0.89052653360726464</v>
      </c>
      <c r="W24" s="31">
        <v>0.84036952716136459</v>
      </c>
      <c r="X24" s="31">
        <v>0.79303750705857068</v>
      </c>
      <c r="Y24" s="44">
        <v>0.50037406851473953</v>
      </c>
      <c r="Z24" s="31">
        <v>-1.8695698885260459E-2</v>
      </c>
      <c r="AA24" s="43">
        <v>-3.6017699468236186E-2</v>
      </c>
      <c r="AW24" s="31">
        <v>-0.62012847751411992</v>
      </c>
      <c r="AX24" s="31">
        <v>-0.56803866333333342</v>
      </c>
      <c r="AZ24" s="31">
        <v>0.35180359669077099</v>
      </c>
      <c r="BA24" s="31">
        <v>0.5680386633333333</v>
      </c>
      <c r="BF24" s="31">
        <v>0.35180359669077099</v>
      </c>
      <c r="BG24" s="31">
        <v>460.11131729999994</v>
      </c>
      <c r="BI24" s="31">
        <v>35.180359669077099</v>
      </c>
      <c r="BJ24" s="31">
        <v>460.11131729999994</v>
      </c>
      <c r="BM24" s="31">
        <v>0.51906976739999999</v>
      </c>
      <c r="BN24" s="31">
        <v>764.37847870000007</v>
      </c>
      <c r="BP24" s="31">
        <v>51.906976739999998</v>
      </c>
      <c r="BQ24" s="31">
        <v>764.37847870000007</v>
      </c>
    </row>
    <row r="25" spans="10:69" ht="20.25" customHeight="1">
      <c r="J25" s="31">
        <v>1.2643441209876543</v>
      </c>
      <c r="K25" s="31">
        <v>0.59534883720000009</v>
      </c>
      <c r="P25" s="31">
        <v>0.59534883720000009</v>
      </c>
      <c r="Q25" s="31">
        <v>1.2643441209876543</v>
      </c>
      <c r="T25" s="31">
        <v>0.54139534879999995</v>
      </c>
      <c r="U25" s="44">
        <v>1.0261343595061732</v>
      </c>
      <c r="V25" s="31">
        <v>1.0529517237591441</v>
      </c>
      <c r="W25" s="31">
        <v>1.0804699426505104</v>
      </c>
      <c r="X25" s="31">
        <v>1.1087073325673531</v>
      </c>
      <c r="Y25" s="44">
        <v>0.52527423897553216</v>
      </c>
      <c r="Z25" s="31">
        <v>-1.6121109824467794E-2</v>
      </c>
      <c r="AA25" s="43">
        <v>-2.9776964024903711E-2</v>
      </c>
      <c r="AW25" s="31">
        <v>-0.51085473269858972</v>
      </c>
      <c r="AX25" s="31">
        <v>-0.48283286383333346</v>
      </c>
      <c r="AZ25" s="31">
        <v>0.37837475876637877</v>
      </c>
      <c r="BA25" s="31">
        <v>0.62484252966666665</v>
      </c>
      <c r="BF25" s="31">
        <v>0.37837475876637877</v>
      </c>
      <c r="BG25" s="31">
        <v>506.12244903000004</v>
      </c>
      <c r="BI25" s="31">
        <v>37.837475876637875</v>
      </c>
      <c r="BJ25" s="31">
        <v>506.12244903000004</v>
      </c>
      <c r="BM25" s="31">
        <v>0.54139534879999995</v>
      </c>
      <c r="BN25" s="31">
        <v>831.16883120000011</v>
      </c>
      <c r="BP25" s="31">
        <v>54.139534879999992</v>
      </c>
      <c r="BQ25" s="31">
        <v>831.16883120000011</v>
      </c>
    </row>
    <row r="26" spans="10:69" ht="20.25" customHeight="1">
      <c r="J26" s="31">
        <v>1.4017728308641977</v>
      </c>
      <c r="K26" s="31">
        <v>0.60651162790000002</v>
      </c>
      <c r="P26" s="31">
        <v>0.60651162790000002</v>
      </c>
      <c r="Q26" s="31">
        <v>1.4017728308641977</v>
      </c>
      <c r="T26" s="31">
        <v>0.56186046509999998</v>
      </c>
      <c r="U26" s="44">
        <v>1.0994296708641975</v>
      </c>
      <c r="V26" s="31">
        <v>1.2087456011765576</v>
      </c>
      <c r="W26" s="31">
        <v>1.3289307784600892</v>
      </c>
      <c r="X26" s="31">
        <v>1.4610659283636775</v>
      </c>
      <c r="Y26" s="44">
        <v>0.54539928866400311</v>
      </c>
      <c r="Z26" s="31">
        <v>-1.6461176435996872E-2</v>
      </c>
      <c r="AA26" s="43">
        <v>-2.9297623624518786E-2</v>
      </c>
      <c r="AW26" s="31">
        <v>-0.40859128326710803</v>
      </c>
      <c r="AX26" s="31">
        <v>-0.3976270643333335</v>
      </c>
      <c r="AZ26" s="31">
        <v>0.40338552613235151</v>
      </c>
      <c r="BA26" s="31">
        <v>0.68164639599999999</v>
      </c>
      <c r="BF26" s="31">
        <v>0.40338552613235151</v>
      </c>
      <c r="BG26" s="31">
        <v>552.13358075999997</v>
      </c>
      <c r="BI26" s="31">
        <v>40.338552613235152</v>
      </c>
      <c r="BJ26" s="31">
        <v>552.13358075999997</v>
      </c>
      <c r="BM26" s="31">
        <v>0.56186046509999998</v>
      </c>
      <c r="BN26" s="31">
        <v>890.53803340000013</v>
      </c>
      <c r="BP26" s="31">
        <v>56.186046509999997</v>
      </c>
      <c r="BQ26" s="31">
        <v>890.53803340000013</v>
      </c>
    </row>
    <row r="27" spans="10:69" ht="20.25" customHeight="1">
      <c r="J27" s="31">
        <v>1.5575253666666666</v>
      </c>
      <c r="K27" s="31">
        <v>0.62883720930000009</v>
      </c>
      <c r="P27" s="31">
        <v>0.62883720930000009</v>
      </c>
      <c r="Q27" s="31">
        <v>1.5575253666666666</v>
      </c>
      <c r="T27" s="31">
        <v>0.58046511629999997</v>
      </c>
      <c r="U27" s="44">
        <v>1.1727249822222223</v>
      </c>
      <c r="V27" s="31">
        <v>1.3752838839281116</v>
      </c>
      <c r="W27" s="31">
        <v>1.6128297683301036</v>
      </c>
      <c r="X27" s="31">
        <v>1.8914057613923916</v>
      </c>
      <c r="Y27" s="44">
        <v>0.56375631794718051</v>
      </c>
      <c r="Z27" s="31">
        <v>-1.6708798352819465E-2</v>
      </c>
      <c r="AA27" s="43">
        <v>-2.8785189468963555E-2</v>
      </c>
      <c r="AW27" s="31">
        <v>-0.3130251809623657</v>
      </c>
      <c r="AX27" s="31">
        <v>-0.31242126483333355</v>
      </c>
      <c r="AZ27" s="31">
        <v>0.42690087309912056</v>
      </c>
      <c r="BA27" s="31">
        <v>0.73845026233333333</v>
      </c>
      <c r="BF27" s="31">
        <v>0.42690087309912056</v>
      </c>
      <c r="BG27" s="31">
        <v>598.14471248999996</v>
      </c>
      <c r="BI27" s="31">
        <v>42.690087309912059</v>
      </c>
      <c r="BJ27" s="31">
        <v>598.14471248999996</v>
      </c>
      <c r="BM27" s="31">
        <v>0.58046511629999997</v>
      </c>
      <c r="BN27" s="31">
        <v>949.90723560000004</v>
      </c>
      <c r="BP27" s="31">
        <v>58.046511629999998</v>
      </c>
      <c r="BQ27" s="31">
        <v>949.90723560000004</v>
      </c>
    </row>
    <row r="28" spans="10:69" ht="20.25" customHeight="1">
      <c r="J28" s="31">
        <v>1.7224398172839508</v>
      </c>
      <c r="K28" s="31">
        <v>0.63627906980000004</v>
      </c>
      <c r="P28" s="31">
        <v>0.63627906980000004</v>
      </c>
      <c r="Q28" s="31">
        <v>1.7224398172839508</v>
      </c>
      <c r="T28" s="31">
        <v>0.59534883720000009</v>
      </c>
      <c r="U28" s="44">
        <v>1.2643441209876543</v>
      </c>
      <c r="V28" s="31">
        <v>1.5985660562760442</v>
      </c>
      <c r="W28" s="31">
        <v>2.0211375952630362</v>
      </c>
      <c r="X28" s="31">
        <v>2.555413436277945</v>
      </c>
      <c r="Y28" s="44">
        <v>0.58438848920653541</v>
      </c>
      <c r="Z28" s="31">
        <v>-1.0960347993464681E-2</v>
      </c>
      <c r="AA28" s="43">
        <v>-1.8409959520560359E-2</v>
      </c>
      <c r="AW28" s="31">
        <v>-0.22385077570572359</v>
      </c>
      <c r="AX28" s="31">
        <v>-0.22721546533333337</v>
      </c>
      <c r="AZ28" s="31">
        <v>0.44898433236157731</v>
      </c>
      <c r="BA28" s="31">
        <v>0.79525412866666667</v>
      </c>
      <c r="BF28" s="31">
        <v>0.44898433236157731</v>
      </c>
      <c r="BG28" s="31">
        <v>644.15584421999995</v>
      </c>
      <c r="BI28" s="31">
        <v>44.898433236157729</v>
      </c>
      <c r="BJ28" s="31">
        <v>644.15584421999995</v>
      </c>
      <c r="BM28" s="31">
        <v>0.59534883720000009</v>
      </c>
      <c r="BN28" s="31">
        <v>1024.1187379999999</v>
      </c>
      <c r="BP28" s="31">
        <v>59.53488372000001</v>
      </c>
      <c r="BQ28" s="31">
        <v>1024.1187379999999</v>
      </c>
    </row>
    <row r="29" spans="10:69" ht="20.25" customHeight="1">
      <c r="J29" s="31">
        <v>1.8781923543209877</v>
      </c>
      <c r="K29" s="31">
        <v>0.65302325579999998</v>
      </c>
      <c r="P29" s="31">
        <v>0.65302325579999998</v>
      </c>
      <c r="Q29" s="31">
        <v>1.8781923543209877</v>
      </c>
      <c r="T29" s="31">
        <v>0.60651162790000002</v>
      </c>
      <c r="U29" s="44">
        <v>1.4017728308641977</v>
      </c>
      <c r="V29" s="31">
        <v>1.9649670693490267</v>
      </c>
      <c r="W29" s="31">
        <v>2.7544374513563112</v>
      </c>
      <c r="X29" s="31">
        <v>3.8610955836261027</v>
      </c>
      <c r="Y29" s="44">
        <v>0.61095028755301761</v>
      </c>
      <c r="Z29" s="31">
        <v>4.4386596530175959E-3</v>
      </c>
      <c r="AA29" s="43">
        <v>7.3183422194000045E-3</v>
      </c>
      <c r="AW29" s="31">
        <v>-0.14076971559721357</v>
      </c>
      <c r="AX29" s="31">
        <v>-0.14200966583333341</v>
      </c>
      <c r="AZ29" s="31">
        <v>0.46969799499907333</v>
      </c>
      <c r="BA29" s="31">
        <v>0.85205799500000001</v>
      </c>
      <c r="BF29" s="31">
        <v>0.46969799499907333</v>
      </c>
      <c r="BG29" s="31">
        <v>690.16697595000005</v>
      </c>
      <c r="BI29" s="31">
        <v>46.969799499907332</v>
      </c>
      <c r="BJ29" s="31">
        <v>690.16697595000016</v>
      </c>
      <c r="BM29" s="31">
        <v>0.60651162790000002</v>
      </c>
      <c r="BN29" s="31">
        <v>1135.4359930000001</v>
      </c>
      <c r="BP29" s="31">
        <v>60.651162790000001</v>
      </c>
      <c r="BQ29" s="31">
        <v>1135.4359930000001</v>
      </c>
    </row>
    <row r="30" spans="10:69" ht="20.25" customHeight="1">
      <c r="J30" s="31">
        <v>2.0797544604938274</v>
      </c>
      <c r="K30" s="31">
        <v>0.66790697669999999</v>
      </c>
      <c r="P30" s="31">
        <v>0.66790697669999999</v>
      </c>
      <c r="Q30" s="31">
        <v>2.0797544604938274</v>
      </c>
      <c r="T30" s="31">
        <v>0.62883720930000009</v>
      </c>
      <c r="U30" s="44">
        <v>1.5575253666666666</v>
      </c>
      <c r="V30" s="31">
        <v>2.4258852678101341</v>
      </c>
      <c r="W30" s="31">
        <v>3.7783778412372437</v>
      </c>
      <c r="X30" s="31">
        <v>5.8849193325782458</v>
      </c>
      <c r="Y30" s="44">
        <v>0.63544635940134309</v>
      </c>
      <c r="Z30" s="31">
        <v>6.6091501013429976E-3</v>
      </c>
      <c r="AA30" s="43">
        <v>1.0510112957056209E-2</v>
      </c>
      <c r="AW30" s="31">
        <v>-6.3490946915537402E-2</v>
      </c>
      <c r="AX30" s="31">
        <v>-5.6803866333333453E-2</v>
      </c>
      <c r="AZ30" s="31">
        <v>0.4891025104754203</v>
      </c>
      <c r="BA30" s="31">
        <v>0.90886186133333335</v>
      </c>
      <c r="BF30" s="31">
        <v>0.4891025104754203</v>
      </c>
      <c r="BG30" s="31">
        <v>736.17810768000004</v>
      </c>
      <c r="BI30" s="31">
        <v>48.910251047542033</v>
      </c>
      <c r="BJ30" s="31">
        <v>736.17810768000004</v>
      </c>
      <c r="BM30" s="31">
        <v>0.62883720930000009</v>
      </c>
      <c r="BN30" s="31">
        <v>1261.5955469999999</v>
      </c>
      <c r="BP30" s="31">
        <v>62.88372093000001</v>
      </c>
      <c r="BQ30" s="31">
        <v>1261.5955469999999</v>
      </c>
    </row>
    <row r="31" spans="10:69" ht="20.25" customHeight="1">
      <c r="J31" s="31">
        <v>2.2629927395061733</v>
      </c>
      <c r="K31" s="31">
        <v>0.68093023259999996</v>
      </c>
      <c r="P31" s="31">
        <v>0.68093023259999996</v>
      </c>
      <c r="Q31" s="31">
        <v>2.2629927395061733</v>
      </c>
      <c r="T31" s="31">
        <v>0.63627906980000004</v>
      </c>
      <c r="U31" s="44">
        <v>1.7224398172839508</v>
      </c>
      <c r="V31" s="31">
        <v>2.96679892416517</v>
      </c>
      <c r="W31" s="31">
        <v>5.1101325968572775</v>
      </c>
      <c r="X31" s="31">
        <v>8.8018958564276097</v>
      </c>
      <c r="Y31" s="44">
        <v>0.65585506535025218</v>
      </c>
      <c r="Z31" s="31">
        <v>1.9575995550252134E-2</v>
      </c>
      <c r="AA31" s="43">
        <v>3.0766367274041258E-2</v>
      </c>
      <c r="AW31" s="31">
        <v>8.2692858819325837E-3</v>
      </c>
      <c r="AX31" s="31">
        <v>2.8401933166666504E-2</v>
      </c>
      <c r="AZ31" s="31">
        <v>0.50725708663889013</v>
      </c>
      <c r="BA31" s="31">
        <v>0.9656657276666667</v>
      </c>
      <c r="BF31" s="31">
        <v>0.50725708663889013</v>
      </c>
      <c r="BG31" s="31">
        <v>782.18923941000003</v>
      </c>
      <c r="BI31" s="31">
        <v>50.725708663889016</v>
      </c>
      <c r="BJ31" s="31">
        <v>782.18923941000003</v>
      </c>
      <c r="BM31" s="31">
        <v>0.63627906980000004</v>
      </c>
      <c r="BN31" s="31">
        <v>1395.1762520000002</v>
      </c>
      <c r="BP31" s="31">
        <v>63.627906980000006</v>
      </c>
      <c r="BQ31" s="31">
        <v>1395.1762520000002</v>
      </c>
    </row>
    <row r="32" spans="10:69" ht="20.25" customHeight="1">
      <c r="J32" s="31">
        <v>2.4370691037037036</v>
      </c>
      <c r="K32" s="31">
        <v>0.68837209300000002</v>
      </c>
      <c r="P32" s="31">
        <v>0.68837209300000002</v>
      </c>
      <c r="Q32" s="31">
        <v>2.4370691037037036</v>
      </c>
      <c r="T32" s="31">
        <v>0.65302325579999998</v>
      </c>
      <c r="U32" s="44">
        <v>1.8781923543209877</v>
      </c>
      <c r="V32" s="31">
        <v>3.5276065198298148</v>
      </c>
      <c r="W32" s="31">
        <v>6.625523594597226</v>
      </c>
      <c r="X32" s="31">
        <v>12.444007758745817</v>
      </c>
      <c r="Y32" s="44">
        <v>0.670772775039853</v>
      </c>
      <c r="Z32" s="31">
        <v>1.7749519239853018E-2</v>
      </c>
      <c r="AA32" s="43">
        <v>2.7180531600070803E-2</v>
      </c>
      <c r="AW32" s="31">
        <v>7.4787440159153562E-2</v>
      </c>
      <c r="AX32" s="31">
        <v>0.11360773266666646</v>
      </c>
      <c r="AZ32" s="31">
        <v>0.52421948972221477</v>
      </c>
      <c r="BA32" s="31">
        <v>1.0224695939999999</v>
      </c>
      <c r="BF32" s="31">
        <v>0.52421948972221477</v>
      </c>
      <c r="BG32" s="31">
        <v>828.2003711399999</v>
      </c>
      <c r="BI32" s="31">
        <v>52.421948972221479</v>
      </c>
      <c r="BJ32" s="31">
        <v>828.20037114000002</v>
      </c>
      <c r="BM32" s="31">
        <v>0.65302325579999998</v>
      </c>
      <c r="BN32" s="31">
        <v>1521.3358069999999</v>
      </c>
      <c r="BP32" s="31">
        <v>65.302325580000002</v>
      </c>
      <c r="BQ32" s="31">
        <v>1521.3358070000002</v>
      </c>
    </row>
    <row r="33" spans="10:69" ht="20.25" customHeight="1">
      <c r="J33" s="31">
        <v>2.6294692962962967</v>
      </c>
      <c r="K33" s="31">
        <v>0.69395348839999993</v>
      </c>
      <c r="P33" s="31">
        <v>0.69395348839999993</v>
      </c>
      <c r="Q33" s="31">
        <v>2.6294692962962967</v>
      </c>
      <c r="T33" s="31">
        <v>0.66790697669999999</v>
      </c>
      <c r="U33" s="44">
        <v>2.0797544604938274</v>
      </c>
      <c r="V33" s="31">
        <v>4.3253786159439711</v>
      </c>
      <c r="W33" s="31">
        <v>8.9957254698340918</v>
      </c>
      <c r="X33" s="31">
        <v>18.708900171265384</v>
      </c>
      <c r="Y33" s="44">
        <v>0.68501350953592466</v>
      </c>
      <c r="Z33" s="31">
        <v>1.710653283592467E-2</v>
      </c>
      <c r="AA33" s="43">
        <v>2.5612148746289132E-2</v>
      </c>
      <c r="AW33" s="31">
        <v>0.13633267510141245</v>
      </c>
      <c r="AX33" s="31">
        <v>0.19881353216666664</v>
      </c>
      <c r="AZ33" s="31">
        <v>0.54004604434258663</v>
      </c>
      <c r="BA33" s="31">
        <v>1.0792734603333334</v>
      </c>
      <c r="BF33" s="31">
        <v>0.54004604434258663</v>
      </c>
      <c r="BG33" s="31">
        <v>874.21150287</v>
      </c>
      <c r="BI33" s="31">
        <v>54.00460443425866</v>
      </c>
      <c r="BJ33" s="31">
        <v>874.21150287</v>
      </c>
      <c r="BM33" s="31">
        <v>0.66790697669999999</v>
      </c>
      <c r="BN33" s="31">
        <v>1684.6011130000004</v>
      </c>
      <c r="BP33" s="31">
        <v>66.79069767</v>
      </c>
      <c r="BQ33" s="31">
        <v>1684.6011130000004</v>
      </c>
    </row>
    <row r="34" spans="10:69" ht="20.25" customHeight="1">
      <c r="J34" s="31">
        <v>2.8401933160493833</v>
      </c>
      <c r="K34" s="31">
        <v>0.70697674420000001</v>
      </c>
      <c r="P34" s="31">
        <v>0.70697674420000001</v>
      </c>
      <c r="Q34" s="31">
        <v>2.8401933160493833</v>
      </c>
      <c r="T34" s="31">
        <v>0.68093023259999996</v>
      </c>
      <c r="U34" s="44">
        <v>2.2629927395061733</v>
      </c>
      <c r="V34" s="31">
        <v>5.1211361390576551</v>
      </c>
      <c r="W34" s="31">
        <v>11.58909390071015</v>
      </c>
      <c r="X34" s="31">
        <v>26.226035354762345</v>
      </c>
      <c r="Y34" s="44">
        <v>0.69408109952471642</v>
      </c>
      <c r="Z34" s="31">
        <v>1.3150866924716453E-2</v>
      </c>
      <c r="AA34" s="43">
        <v>1.9313090086340301E-2</v>
      </c>
      <c r="AW34" s="31">
        <v>0.19316685171532527</v>
      </c>
      <c r="AX34" s="31">
        <v>0.2840193316666666</v>
      </c>
      <c r="AZ34" s="31">
        <v>0.55479163350165805</v>
      </c>
      <c r="BA34" s="31">
        <v>1.1360773266666666</v>
      </c>
      <c r="BF34" s="31">
        <v>0.55479163350165805</v>
      </c>
      <c r="BG34" s="31">
        <v>920.22263459999988</v>
      </c>
      <c r="BI34" s="31">
        <v>55.479163350165805</v>
      </c>
      <c r="BJ34" s="31">
        <v>920.22263459999988</v>
      </c>
      <c r="BM34" s="31">
        <v>0.68093023259999996</v>
      </c>
      <c r="BN34" s="31">
        <v>1833.0241190000002</v>
      </c>
      <c r="BP34" s="31">
        <v>68.093023259999995</v>
      </c>
      <c r="BQ34" s="31">
        <v>1833.0241190000002</v>
      </c>
    </row>
    <row r="35" spans="10:69" ht="20.25" customHeight="1">
      <c r="J35" s="31">
        <v>3.0417554222222223</v>
      </c>
      <c r="K35" s="31">
        <v>0.71069767440000009</v>
      </c>
      <c r="P35" s="31">
        <v>0.71069767440000009</v>
      </c>
      <c r="Q35" s="31">
        <v>3.0417554222222223</v>
      </c>
      <c r="T35" s="31">
        <v>0.68837209300000002</v>
      </c>
      <c r="U35" s="44">
        <v>2.4370691037037036</v>
      </c>
      <c r="V35" s="31">
        <v>5.939305816227173</v>
      </c>
      <c r="W35" s="31">
        <v>14.47449870217495</v>
      </c>
      <c r="X35" s="31">
        <v>35.275353578669929</v>
      </c>
      <c r="Y35" s="44">
        <v>0.70011535465640984</v>
      </c>
      <c r="Z35" s="31">
        <v>1.174326165640982E-2</v>
      </c>
      <c r="AA35" s="43">
        <v>1.7059467947387896E-2</v>
      </c>
      <c r="AW35" s="31">
        <v>0.24554453282883804</v>
      </c>
      <c r="AX35" s="31">
        <v>0.36922513116666655</v>
      </c>
      <c r="AZ35" s="31">
        <v>0.56850969858554146</v>
      </c>
      <c r="BA35" s="31">
        <v>1.1928811930000001</v>
      </c>
      <c r="BF35" s="31">
        <v>0.56850969858554146</v>
      </c>
      <c r="BG35" s="31">
        <v>966.23376633000009</v>
      </c>
      <c r="BI35" s="31">
        <v>56.850969858554144</v>
      </c>
      <c r="BJ35" s="31">
        <v>966.23376633000009</v>
      </c>
      <c r="BM35" s="31">
        <v>0.68837209300000002</v>
      </c>
      <c r="BN35" s="31">
        <v>1974.0259739999999</v>
      </c>
      <c r="BP35" s="31">
        <v>68.837209299999998</v>
      </c>
      <c r="BQ35" s="31">
        <v>1974.0259739999999</v>
      </c>
    </row>
    <row r="36" spans="10:69" ht="20.25" customHeight="1">
      <c r="J36" s="31">
        <v>3.2341556148148149</v>
      </c>
      <c r="K36" s="31">
        <v>0.71813953490000004</v>
      </c>
      <c r="P36" s="31">
        <v>0.71813953490000004</v>
      </c>
      <c r="Q36" s="31">
        <v>3.2341556148148149</v>
      </c>
      <c r="T36" s="31">
        <v>0.69395348839999993</v>
      </c>
      <c r="U36" s="44">
        <v>2.6294692962962967</v>
      </c>
      <c r="V36" s="31">
        <v>6.9141087801649412</v>
      </c>
      <c r="W36" s="31">
        <v>18.180436748696355</v>
      </c>
      <c r="X36" s="31">
        <v>47.804900223953929</v>
      </c>
      <c r="Y36" s="44">
        <v>0.70463039543594452</v>
      </c>
      <c r="Z36" s="31">
        <v>1.0676907035944594E-2</v>
      </c>
      <c r="AA36" s="43">
        <v>1.5385623409086958E-2</v>
      </c>
      <c r="AW36" s="31">
        <v>0.29371298309122629</v>
      </c>
      <c r="AX36" s="31">
        <v>0.45443093066666651</v>
      </c>
      <c r="AZ36" s="31">
        <v>0.58125223936480963</v>
      </c>
      <c r="BA36" s="31">
        <v>1.2496850593333333</v>
      </c>
      <c r="BF36" s="31">
        <v>0.58125223936480963</v>
      </c>
      <c r="BG36" s="31">
        <v>1012.2448980600001</v>
      </c>
      <c r="BI36" s="31">
        <v>58.125223936480964</v>
      </c>
      <c r="BJ36" s="31">
        <v>1012.2448980600001</v>
      </c>
      <c r="BM36" s="31">
        <v>0.69395348839999993</v>
      </c>
      <c r="BN36" s="31">
        <v>2129.8701300000007</v>
      </c>
      <c r="BP36" s="31">
        <v>69.395348839999997</v>
      </c>
      <c r="BQ36" s="31">
        <v>2129.8701300000007</v>
      </c>
    </row>
    <row r="37" spans="10:69" ht="20.25" customHeight="1">
      <c r="J37" s="31">
        <v>3.3899081518518512</v>
      </c>
      <c r="K37" s="31">
        <v>0.72</v>
      </c>
      <c r="P37" s="31">
        <v>0.72</v>
      </c>
      <c r="Q37" s="31">
        <v>3.3899081518518512</v>
      </c>
      <c r="T37" s="31">
        <v>0.70697674420000001</v>
      </c>
      <c r="U37" s="31">
        <v>2.8401933160493833</v>
      </c>
      <c r="V37" s="31">
        <v>8.066698072531592</v>
      </c>
      <c r="W37" s="31">
        <v>22.910981948192671</v>
      </c>
      <c r="X37" s="31">
        <v>65.071617793384902</v>
      </c>
      <c r="Y37" s="31">
        <v>0.70773914906767055</v>
      </c>
      <c r="Z37" s="31">
        <v>7.6240486767054083E-4</v>
      </c>
      <c r="AA37" s="31">
        <v>1.0784016220127045E-3</v>
      </c>
      <c r="AW37" s="31">
        <v>0.33791216897309495</v>
      </c>
      <c r="AX37" s="31">
        <v>0.53963673016666647</v>
      </c>
      <c r="AZ37" s="31">
        <v>0.59306981399449521</v>
      </c>
      <c r="BA37" s="31">
        <v>1.3064889256666667</v>
      </c>
      <c r="BF37" s="31">
        <v>0.59306981399449521</v>
      </c>
      <c r="BG37" s="31">
        <v>1058.25602979</v>
      </c>
      <c r="BI37" s="31">
        <v>59.306981399449519</v>
      </c>
      <c r="BJ37" s="31">
        <v>1058.2560297900002</v>
      </c>
      <c r="BM37" s="31">
        <v>0.70697674420000001</v>
      </c>
      <c r="BN37" s="31">
        <v>2300.5565860000002</v>
      </c>
      <c r="BP37" s="31">
        <v>70.697674419999998</v>
      </c>
      <c r="BQ37" s="31">
        <v>2300.5565860000002</v>
      </c>
    </row>
    <row r="38" spans="10:69" ht="20.25" customHeight="1">
      <c r="J38" s="31">
        <v>3.6006321716049383</v>
      </c>
      <c r="K38" s="31">
        <v>0.72372093019999995</v>
      </c>
      <c r="P38" s="31">
        <v>0.72372093019999995</v>
      </c>
      <c r="Q38" s="31">
        <v>3.6006321716049383</v>
      </c>
      <c r="T38" s="31">
        <v>0.71069767440000009</v>
      </c>
      <c r="U38" s="31">
        <v>3.0417554222222223</v>
      </c>
      <c r="V38" s="31">
        <v>9.25227604861829</v>
      </c>
      <c r="W38" s="31">
        <v>28.14316083878148</v>
      </c>
      <c r="X38" s="31">
        <v>85.604612079835675</v>
      </c>
      <c r="Y38" s="31">
        <v>0.70946870639930681</v>
      </c>
      <c r="Z38" s="31">
        <v>-1.2289680006932757E-3</v>
      </c>
      <c r="AA38" s="31">
        <v>-1.7292416240574033E-3</v>
      </c>
      <c r="AW38" s="31">
        <v>0.3783747587663786</v>
      </c>
      <c r="AX38" s="31">
        <v>0.62484252966666642</v>
      </c>
      <c r="AZ38" s="31">
        <v>0.60401153901409133</v>
      </c>
      <c r="BA38" s="31">
        <v>1.363292792</v>
      </c>
      <c r="BF38" s="31">
        <v>0.60401153901409133</v>
      </c>
      <c r="BG38" s="31">
        <v>1104.2671615199999</v>
      </c>
      <c r="BI38" s="31">
        <v>60.401153901409131</v>
      </c>
      <c r="BJ38" s="31">
        <v>1104.2671615199999</v>
      </c>
      <c r="BM38" s="31">
        <v>0.71069767440000009</v>
      </c>
      <c r="BN38" s="31">
        <v>2463.8218919999999</v>
      </c>
      <c r="BP38" s="31">
        <v>71.069767440000007</v>
      </c>
      <c r="BQ38" s="31">
        <v>2463.8218919999999</v>
      </c>
    </row>
    <row r="39" spans="10:69" ht="20.25" customHeight="1">
      <c r="J39" s="31">
        <v>3.7930323641975305</v>
      </c>
      <c r="K39" s="31">
        <v>0.72372093019999995</v>
      </c>
      <c r="P39" s="31">
        <v>0.72372093019999995</v>
      </c>
      <c r="Q39" s="31">
        <v>3.7930323641975305</v>
      </c>
      <c r="T39" s="31">
        <v>0.71813953490000004</v>
      </c>
      <c r="U39" s="31">
        <v>3.2341556148148149</v>
      </c>
      <c r="V39" s="31">
        <v>10.459762540838193</v>
      </c>
      <c r="W39" s="31">
        <v>33.828499751081516</v>
      </c>
      <c r="X39" s="31">
        <v>109.40663241072185</v>
      </c>
      <c r="Y39" s="31">
        <v>0.71027796160895673</v>
      </c>
      <c r="Z39" s="31">
        <v>-7.8615732910433112E-3</v>
      </c>
      <c r="AA39" s="31">
        <v>-1.0947138973678735E-2</v>
      </c>
      <c r="AW39" s="31">
        <v>0.41532612258434154</v>
      </c>
      <c r="AX39" s="31">
        <v>0.7100483291666666</v>
      </c>
      <c r="AZ39" s="31">
        <v>0.61412508934755139</v>
      </c>
      <c r="BA39" s="31">
        <v>1.4200966583333334</v>
      </c>
      <c r="BF39" s="31">
        <v>0.61412508934755139</v>
      </c>
      <c r="BG39" s="31">
        <v>1150.2782932500002</v>
      </c>
      <c r="BI39" s="31">
        <v>61.412508934755138</v>
      </c>
      <c r="BJ39" s="31">
        <v>1150.2782932500002</v>
      </c>
      <c r="BM39" s="31">
        <v>0.71813953490000004</v>
      </c>
      <c r="BN39" s="31">
        <v>2619.666048</v>
      </c>
      <c r="BP39" s="31">
        <v>71.813953490000003</v>
      </c>
      <c r="BQ39" s="31">
        <v>2619.666048</v>
      </c>
    </row>
    <row r="40" spans="10:69" ht="20.25" customHeight="1">
      <c r="J40" s="31">
        <v>3.9487849012345682</v>
      </c>
      <c r="K40" s="31">
        <v>0.71813953490000004</v>
      </c>
      <c r="P40" s="31">
        <v>0.71813953490000004</v>
      </c>
      <c r="Q40" s="31">
        <v>3.9487849012345682</v>
      </c>
      <c r="T40" s="31">
        <v>0.72</v>
      </c>
      <c r="U40" s="31">
        <v>3.3899081518518512</v>
      </c>
      <c r="V40" s="31">
        <v>11.491477277991633</v>
      </c>
      <c r="W40" s="31">
        <v>38.955052501484161</v>
      </c>
      <c r="X40" s="31">
        <v>132.05405003059798</v>
      </c>
      <c r="Y40" s="31">
        <v>0.710390728823594</v>
      </c>
      <c r="Z40" s="31">
        <v>-9.6092711764059757E-3</v>
      </c>
      <c r="AA40" s="31">
        <v>-1.3346209967230523E-2</v>
      </c>
      <c r="AW40" s="31">
        <v>0.4489843323615772</v>
      </c>
      <c r="AX40" s="31">
        <v>0.79525412866666634</v>
      </c>
      <c r="AZ40" s="31">
        <v>0.62345669830328831</v>
      </c>
      <c r="BA40" s="31">
        <v>1.4769005246666667</v>
      </c>
      <c r="BF40" s="31">
        <v>0.62345669830328831</v>
      </c>
      <c r="BG40" s="31">
        <v>1196.2894249799999</v>
      </c>
      <c r="BI40" s="31">
        <v>62.345669830328831</v>
      </c>
      <c r="BJ40" s="31">
        <v>1196.2894249799999</v>
      </c>
      <c r="BM40" s="31">
        <v>0.72</v>
      </c>
      <c r="BN40" s="31">
        <v>2745.8256029999993</v>
      </c>
      <c r="BP40" s="31">
        <v>72</v>
      </c>
      <c r="BQ40" s="31">
        <v>2745.8256029999993</v>
      </c>
    </row>
    <row r="41" spans="10:69" ht="20.25" customHeight="1">
      <c r="J41" s="31">
        <v>4.077051696296297</v>
      </c>
      <c r="K41" s="31">
        <v>0.71255813950000002</v>
      </c>
      <c r="P41" s="31">
        <v>0.71255813950000002</v>
      </c>
      <c r="Q41" s="31">
        <v>4.077051696296297</v>
      </c>
      <c r="T41" s="31">
        <v>0.72372093019999995</v>
      </c>
      <c r="U41" s="31">
        <v>3.6006321716049383</v>
      </c>
      <c r="V41" s="31">
        <v>12.964552035196494</v>
      </c>
      <c r="W41" s="31">
        <v>46.680583148374772</v>
      </c>
      <c r="X41" s="31">
        <v>168.07960947331756</v>
      </c>
      <c r="Y41" s="31">
        <v>0.70966813887863034</v>
      </c>
      <c r="Z41" s="31">
        <v>-1.4052791321369607E-2</v>
      </c>
      <c r="AA41" s="31">
        <v>-1.941741731510532E-2</v>
      </c>
      <c r="AW41" s="31">
        <v>0.47956016185400918</v>
      </c>
      <c r="AX41" s="31">
        <v>0.88045992816666652</v>
      </c>
      <c r="AZ41" s="31">
        <v>0.63205115757417607</v>
      </c>
      <c r="BA41" s="31">
        <v>1.5337043910000001</v>
      </c>
      <c r="BF41" s="31">
        <v>0.63205115757417607</v>
      </c>
      <c r="BG41" s="31">
        <v>1242.3005567100001</v>
      </c>
      <c r="BI41" s="31">
        <v>63.205115757417609</v>
      </c>
      <c r="BJ41" s="31">
        <v>1242.3005567100001</v>
      </c>
      <c r="BM41" s="31">
        <v>0.72372093019999995</v>
      </c>
      <c r="BN41" s="31">
        <v>2916.5120590000001</v>
      </c>
      <c r="BP41" s="31">
        <v>72.372093019999994</v>
      </c>
      <c r="BQ41" s="31">
        <v>2916.5120590000006</v>
      </c>
    </row>
    <row r="42" spans="10:69" ht="20.25" customHeight="1">
      <c r="J42" s="31">
        <v>4.2511280604938273</v>
      </c>
      <c r="K42" s="31">
        <v>0.69953488370000005</v>
      </c>
      <c r="P42" s="31">
        <v>0.69953488370000005</v>
      </c>
      <c r="Q42" s="31">
        <v>4.2511280604938273</v>
      </c>
      <c r="T42" s="31">
        <v>0.72372093019999995</v>
      </c>
      <c r="U42" s="31">
        <v>3.7930323641975305</v>
      </c>
      <c r="V42" s="31">
        <v>14.387094515849908</v>
      </c>
      <c r="W42" s="31">
        <v>54.570715125387501</v>
      </c>
      <c r="X42" s="31">
        <v>206.98848860799851</v>
      </c>
      <c r="Y42" s="31">
        <v>0.70783831205255354</v>
      </c>
      <c r="Z42" s="31">
        <v>-1.5882618147446403E-2</v>
      </c>
      <c r="AA42" s="31">
        <v>-2.1945777004206923E-2</v>
      </c>
      <c r="AW42" s="31">
        <v>0.50725708663889013</v>
      </c>
      <c r="AX42" s="31">
        <v>0.9656657276666667</v>
      </c>
      <c r="AZ42" s="31">
        <v>0.6399518172375479</v>
      </c>
      <c r="BA42" s="31">
        <v>1.5905082573333333</v>
      </c>
      <c r="BF42" s="31">
        <v>0.6399518172375479</v>
      </c>
      <c r="BG42" s="31">
        <v>1288.3116884399999</v>
      </c>
      <c r="BI42" s="31">
        <v>63.99518172375479</v>
      </c>
      <c r="BJ42" s="31">
        <v>1288.3116884399999</v>
      </c>
      <c r="BM42" s="31">
        <v>0.72372093019999995</v>
      </c>
      <c r="BN42" s="31">
        <v>3072.3562149999993</v>
      </c>
      <c r="BP42" s="31">
        <v>72.372093019999994</v>
      </c>
      <c r="BQ42" s="31">
        <v>3072.3562149999993</v>
      </c>
    </row>
    <row r="43" spans="10:69" ht="20.25" customHeight="1">
      <c r="J43" s="31">
        <v>4.3977186839506182</v>
      </c>
      <c r="K43" s="31">
        <v>0.6920930233</v>
      </c>
      <c r="P43" s="31">
        <v>0.6920930233</v>
      </c>
      <c r="Q43" s="31">
        <v>4.3977186839506182</v>
      </c>
      <c r="T43" s="31">
        <v>0.71813953490000004</v>
      </c>
      <c r="U43" s="31">
        <v>3.9487849012345682</v>
      </c>
      <c r="V43" s="31">
        <v>15.592902196218098</v>
      </c>
      <c r="W43" s="31">
        <v>61.573016758853363</v>
      </c>
      <c r="X43" s="31">
        <v>243.13859890082318</v>
      </c>
      <c r="Y43" s="31">
        <v>0.70521051558127179</v>
      </c>
      <c r="Z43" s="31">
        <v>-1.2929019318728252E-2</v>
      </c>
      <c r="AA43" s="31">
        <v>-1.8003491926577474E-2</v>
      </c>
      <c r="AW43" s="31">
        <v>0.53227128411480229</v>
      </c>
      <c r="AX43" s="31">
        <v>1.0508715271666664</v>
      </c>
      <c r="AZ43" s="31">
        <v>0.6472005857551979</v>
      </c>
      <c r="BA43" s="31">
        <v>1.6473121236666668</v>
      </c>
      <c r="BF43" s="31">
        <v>0.6472005857551979</v>
      </c>
      <c r="BG43" s="31">
        <v>1334.3228201700001</v>
      </c>
      <c r="BI43" s="31">
        <v>64.720058575519786</v>
      </c>
      <c r="BJ43" s="31">
        <v>1334.3228201700001</v>
      </c>
      <c r="BM43" s="31">
        <v>0.71813953490000004</v>
      </c>
      <c r="BN43" s="31">
        <v>3198.51577</v>
      </c>
      <c r="BP43" s="31">
        <v>71.813953490000003</v>
      </c>
      <c r="BQ43" s="31">
        <v>3198.51577</v>
      </c>
    </row>
    <row r="44" spans="10:69" ht="20.25" customHeight="1">
      <c r="J44" s="31">
        <v>4.5443093061728401</v>
      </c>
      <c r="K44" s="31">
        <v>0.67720930229999998</v>
      </c>
      <c r="P44" s="31">
        <v>0.67720930229999998</v>
      </c>
      <c r="Q44" s="31">
        <v>4.5443093061728401</v>
      </c>
      <c r="T44" s="31">
        <v>0.71255813950000002</v>
      </c>
      <c r="U44" s="31">
        <v>4.077051696296297</v>
      </c>
      <c r="V44" s="31">
        <v>16.622350534272513</v>
      </c>
      <c r="W44" s="31">
        <v>67.770182442187405</v>
      </c>
      <c r="X44" s="31">
        <v>276.30253728422969</v>
      </c>
      <c r="Y44" s="31">
        <v>0.70201927011883636</v>
      </c>
      <c r="Z44" s="31">
        <v>-1.0538869381163662E-2</v>
      </c>
      <c r="AA44" s="31">
        <v>-1.4790188753662623E-2</v>
      </c>
      <c r="AW44" s="31">
        <v>0.55479163350165805</v>
      </c>
      <c r="AX44" s="31">
        <v>1.1360773266666666</v>
      </c>
      <c r="AZ44" s="31">
        <v>0.65383792997338008</v>
      </c>
      <c r="BA44" s="31">
        <v>1.70411599</v>
      </c>
      <c r="BF44" s="31">
        <v>0.65383792997338008</v>
      </c>
      <c r="BG44" s="31">
        <v>1380.3339519000001</v>
      </c>
      <c r="BI44" s="31">
        <v>65.383792997338006</v>
      </c>
      <c r="BJ44" s="31">
        <v>1380.3339519000003</v>
      </c>
      <c r="BM44" s="31">
        <v>0.71255813950000002</v>
      </c>
      <c r="BN44" s="31">
        <v>3302.4118740000008</v>
      </c>
      <c r="BP44" s="31">
        <v>71.255813950000004</v>
      </c>
      <c r="BQ44" s="31">
        <v>3302.4118740000008</v>
      </c>
    </row>
    <row r="45" spans="10:69" ht="20.25" customHeight="1">
      <c r="J45" s="31">
        <v>4.6908999283950621</v>
      </c>
      <c r="K45" s="31">
        <v>0.66046511630000004</v>
      </c>
      <c r="P45" s="31">
        <v>0.66046511630000004</v>
      </c>
      <c r="Q45" s="31">
        <v>4.6908999283950621</v>
      </c>
      <c r="T45" s="31">
        <v>0.69953488370000005</v>
      </c>
      <c r="U45" s="31">
        <v>4.2511280604938273</v>
      </c>
      <c r="V45" s="31">
        <v>18.07208978671801</v>
      </c>
      <c r="W45" s="31">
        <v>76.826768004080833</v>
      </c>
      <c r="X45" s="31">
        <v>326.60042925919743</v>
      </c>
      <c r="Y45" s="31">
        <v>0.69575694594754744</v>
      </c>
      <c r="Z45" s="31">
        <v>-3.7779377524526092E-3</v>
      </c>
      <c r="AA45" s="31">
        <v>-5.4006423989469005E-3</v>
      </c>
      <c r="AW45" s="31">
        <v>0.57499971584069853</v>
      </c>
      <c r="AX45" s="31">
        <v>1.2212831261666663</v>
      </c>
      <c r="AZ45" s="31">
        <v>0.65990287512280821</v>
      </c>
      <c r="BA45" s="31">
        <v>1.7609198563333335</v>
      </c>
      <c r="BF45" s="31">
        <v>0.65990287512280821</v>
      </c>
      <c r="BG45" s="31">
        <v>1426.3450836300001</v>
      </c>
      <c r="BI45" s="31">
        <v>65.990287512280815</v>
      </c>
      <c r="BJ45" s="31">
        <v>1426.3450836300001</v>
      </c>
      <c r="BM45" s="31">
        <v>0.69953488370000005</v>
      </c>
      <c r="BN45" s="31">
        <v>3443.4137289999999</v>
      </c>
      <c r="BP45" s="31">
        <v>69.953488370000002</v>
      </c>
      <c r="BQ45" s="31">
        <v>3443.4137289999999</v>
      </c>
    </row>
    <row r="46" spans="10:69" ht="20.25" customHeight="1">
      <c r="J46" s="31">
        <v>4.8191667234567905</v>
      </c>
      <c r="K46" s="31">
        <v>0.64186046509999994</v>
      </c>
      <c r="P46" s="31">
        <v>0.64186046509999994</v>
      </c>
      <c r="Q46" s="31">
        <v>4.8191667234567905</v>
      </c>
      <c r="T46" s="31">
        <v>0.6920930233</v>
      </c>
      <c r="U46" s="31">
        <v>4.3977186839506182</v>
      </c>
      <c r="V46" s="31">
        <v>19.339929623168356</v>
      </c>
      <c r="W46" s="31">
        <v>85.051569850097522</v>
      </c>
      <c r="X46" s="31">
        <v>374.0328778291049</v>
      </c>
      <c r="Y46" s="31">
        <v>0.68829323517514251</v>
      </c>
      <c r="Z46" s="31">
        <v>-3.7997881248574839E-3</v>
      </c>
      <c r="AA46" s="31">
        <v>-5.4902852607002775E-3</v>
      </c>
      <c r="AW46" s="31">
        <v>0.59306981399449499</v>
      </c>
      <c r="AX46" s="31">
        <v>1.3064889256666665</v>
      </c>
      <c r="AZ46" s="31">
        <v>0.66543300481865697</v>
      </c>
      <c r="BA46" s="31">
        <v>1.8177237226666667</v>
      </c>
      <c r="BF46" s="31">
        <v>0.66543300481865697</v>
      </c>
      <c r="BG46" s="31">
        <v>1472.3562153600001</v>
      </c>
      <c r="BI46" s="31">
        <v>66.5433004818657</v>
      </c>
      <c r="BJ46" s="31">
        <v>1472.3562153600001</v>
      </c>
      <c r="BM46" s="31">
        <v>0.6920930233</v>
      </c>
      <c r="BN46" s="31">
        <v>3562.1521340000008</v>
      </c>
      <c r="BP46" s="31">
        <v>69.20930233</v>
      </c>
      <c r="BQ46" s="31">
        <v>3562.1521340000013</v>
      </c>
    </row>
    <row r="47" spans="10:69" ht="20.25" customHeight="1">
      <c r="J47" s="31">
        <v>4.9657573469135796</v>
      </c>
      <c r="K47" s="31">
        <v>0.61395348839999997</v>
      </c>
      <c r="P47" s="31">
        <v>0.61395348839999997</v>
      </c>
      <c r="Q47" s="31">
        <v>4.9657573469135796</v>
      </c>
      <c r="T47" s="31">
        <v>0.67720930229999998</v>
      </c>
      <c r="U47" s="31">
        <v>4.5443093061728401</v>
      </c>
      <c r="V47" s="31">
        <v>20.650747070169079</v>
      </c>
      <c r="W47" s="31">
        <v>93.843382090390861</v>
      </c>
      <c r="X47" s="31">
        <v>426.45335455609677</v>
      </c>
      <c r="Y47" s="31">
        <v>0.67831539085883974</v>
      </c>
      <c r="Z47" s="31">
        <v>1.1060885588397573E-3</v>
      </c>
      <c r="AA47" s="31">
        <v>1.6333038472495262E-3</v>
      </c>
      <c r="AW47" s="31">
        <v>0.60916891264694839</v>
      </c>
      <c r="AX47" s="31">
        <v>1.3916947251666667</v>
      </c>
      <c r="AZ47" s="31">
        <v>0.67046446106056079</v>
      </c>
      <c r="BA47" s="31">
        <v>1.8745275889999999</v>
      </c>
      <c r="BF47" s="31">
        <v>0.67046446106056079</v>
      </c>
      <c r="BG47" s="31">
        <v>1518.3673470899998</v>
      </c>
      <c r="BI47" s="31">
        <v>67.046446106056081</v>
      </c>
      <c r="BJ47" s="31">
        <v>1518.3673470899998</v>
      </c>
      <c r="BM47" s="31">
        <v>0.67720930229999998</v>
      </c>
      <c r="BN47" s="31">
        <v>3680.8905380000006</v>
      </c>
      <c r="BP47" s="31">
        <v>67.720930229999993</v>
      </c>
      <c r="BQ47" s="31">
        <v>3680.8905380000006</v>
      </c>
    </row>
    <row r="48" spans="10:69" ht="20.25" customHeight="1">
      <c r="J48" s="31">
        <v>5.0757003135802465</v>
      </c>
      <c r="K48" s="31">
        <v>0.59906976739999995</v>
      </c>
      <c r="P48" s="31">
        <v>0.59906976739999995</v>
      </c>
      <c r="Q48" s="31">
        <v>5.0757003135802465</v>
      </c>
      <c r="T48" s="31">
        <v>0.66046511630000004</v>
      </c>
      <c r="U48" s="31">
        <v>4.6908999283950621</v>
      </c>
      <c r="V48" s="31">
        <v>22.004542138216799</v>
      </c>
      <c r="W48" s="31">
        <v>103.22110514052731</v>
      </c>
      <c r="X48" s="31">
        <v>484.19987471255871</v>
      </c>
      <c r="Y48" s="31">
        <v>0.66527488833192572</v>
      </c>
      <c r="Z48" s="31">
        <v>4.8097720319256743E-3</v>
      </c>
      <c r="AA48" s="31">
        <v>7.2824013157130217E-3</v>
      </c>
      <c r="AW48" s="31">
        <v>0.62345669830328831</v>
      </c>
      <c r="AX48" s="31">
        <v>1.4769005246666664</v>
      </c>
      <c r="AZ48" s="31">
        <v>0.6750319442326137</v>
      </c>
      <c r="BA48" s="31">
        <v>1.9313314553333334</v>
      </c>
      <c r="BF48" s="31">
        <v>0.6750319442326137</v>
      </c>
      <c r="BG48" s="31">
        <v>1564.3784788200001</v>
      </c>
      <c r="BI48" s="31">
        <v>67.503194423261377</v>
      </c>
      <c r="BJ48" s="31">
        <v>1564.3784788200001</v>
      </c>
      <c r="BM48" s="31">
        <v>0.66046511630000004</v>
      </c>
      <c r="BN48" s="31">
        <v>3799.6289420000003</v>
      </c>
      <c r="BP48" s="31">
        <v>66.046511629999998</v>
      </c>
      <c r="BQ48" s="31">
        <v>3799.6289420000003</v>
      </c>
    </row>
    <row r="49" spans="10:69" ht="20.25" customHeight="1">
      <c r="J49" s="31">
        <v>5.2222909370370365</v>
      </c>
      <c r="K49" s="31">
        <v>0.56744186050000001</v>
      </c>
      <c r="P49" s="31">
        <v>0.56744186050000001</v>
      </c>
      <c r="Q49" s="31">
        <v>5.2222909370370365</v>
      </c>
      <c r="T49" s="31">
        <v>0.64186046509999994</v>
      </c>
      <c r="U49" s="31">
        <v>4.8191667234567905</v>
      </c>
      <c r="V49" s="31">
        <v>23.224367908473258</v>
      </c>
      <c r="W49" s="31">
        <v>111.9221009978321</v>
      </c>
      <c r="X49" s="31">
        <v>539.3712647481226</v>
      </c>
      <c r="Y49" s="31">
        <v>0.65087220511596322</v>
      </c>
      <c r="Z49" s="31">
        <v>9.0117400159632766E-3</v>
      </c>
      <c r="AA49" s="31">
        <v>1.4040029735371339E-2</v>
      </c>
      <c r="AW49" s="31">
        <v>0.63608555929007515</v>
      </c>
      <c r="AX49" s="31">
        <v>1.5621063241666666</v>
      </c>
      <c r="AZ49" s="31">
        <v>0.67916871310337135</v>
      </c>
      <c r="BA49" s="31">
        <v>1.9881353216666666</v>
      </c>
      <c r="BF49" s="31">
        <v>0.67916871310337135</v>
      </c>
      <c r="BG49" s="31">
        <v>1610.3896105499998</v>
      </c>
      <c r="BI49" s="31">
        <v>67.916871310337129</v>
      </c>
      <c r="BJ49" s="31">
        <v>1610.3896105499998</v>
      </c>
      <c r="BM49" s="31">
        <v>0.64186046509999994</v>
      </c>
      <c r="BN49" s="31">
        <v>3903.5250460000002</v>
      </c>
      <c r="BP49" s="31">
        <v>64.186046509999997</v>
      </c>
      <c r="BQ49" s="31">
        <v>3903.5250460000002</v>
      </c>
    </row>
    <row r="50" spans="10:69" ht="20.25" customHeight="1">
      <c r="J50" s="31">
        <v>5.3597196456790117</v>
      </c>
      <c r="K50" s="31">
        <v>0.53767441859999998</v>
      </c>
      <c r="P50" s="31">
        <v>0.53767441859999998</v>
      </c>
      <c r="Q50" s="31">
        <v>5.3597196456790117</v>
      </c>
      <c r="T50" s="31">
        <v>0.61395348839999997</v>
      </c>
      <c r="U50" s="31">
        <v>4.9657573469135796</v>
      </c>
      <c r="V50" s="31">
        <v>24.658746028426194</v>
      </c>
      <c r="W50" s="31">
        <v>122.44934925633342</v>
      </c>
      <c r="X50" s="31">
        <v>608.05375569442458</v>
      </c>
      <c r="Y50" s="31">
        <v>0.63038817450405848</v>
      </c>
      <c r="Z50" s="31">
        <v>1.6434686104058516E-2</v>
      </c>
      <c r="AA50" s="31">
        <v>2.6768617516757343E-2</v>
      </c>
      <c r="AW50" s="31">
        <v>0.6472005857551979</v>
      </c>
      <c r="AX50" s="31">
        <v>1.6473121236666664</v>
      </c>
      <c r="AZ50" s="31">
        <v>0.68290658482584798</v>
      </c>
      <c r="BA50" s="31">
        <v>2.0449391879999999</v>
      </c>
      <c r="BF50" s="31">
        <v>0.68290658482584798</v>
      </c>
      <c r="BG50" s="31">
        <v>1656.4007422799998</v>
      </c>
      <c r="BI50" s="31">
        <v>68.290658482584803</v>
      </c>
      <c r="BJ50" s="31">
        <v>1656.40074228</v>
      </c>
      <c r="BM50" s="31">
        <v>0.61395348839999997</v>
      </c>
      <c r="BN50" s="31">
        <v>4022.2634509999993</v>
      </c>
      <c r="BP50" s="31">
        <v>61.395348839999997</v>
      </c>
      <c r="BQ50" s="31">
        <v>4022.2634509999993</v>
      </c>
    </row>
    <row r="51" spans="10:69" ht="20.25" customHeight="1">
      <c r="J51" s="31">
        <v>5.4696626123456795</v>
      </c>
      <c r="K51" s="31">
        <v>0.51720930230000006</v>
      </c>
      <c r="P51" s="31">
        <v>0.51720930230000006</v>
      </c>
      <c r="Q51" s="31">
        <v>5.4696626123456795</v>
      </c>
      <c r="T51" s="31">
        <v>0.59906976739999995</v>
      </c>
      <c r="U51" s="31">
        <v>5.0757003135802465</v>
      </c>
      <c r="V51" s="31">
        <v>25.762733673278614</v>
      </c>
      <c r="W51" s="31">
        <v>130.76391538414464</v>
      </c>
      <c r="X51" s="31">
        <v>663.71844632028376</v>
      </c>
      <c r="Y51" s="31">
        <v>0.61178909633804168</v>
      </c>
      <c r="Z51" s="31">
        <v>1.271932893804173E-2</v>
      </c>
      <c r="AA51" s="31">
        <v>2.1231799082842066E-2</v>
      </c>
      <c r="AW51" s="31">
        <v>0.65693956966787592</v>
      </c>
      <c r="AX51" s="31">
        <v>1.7325179231666665</v>
      </c>
      <c r="AZ51" s="31">
        <v>0.68627593493751937</v>
      </c>
      <c r="BA51" s="31">
        <v>2.1017430543333333</v>
      </c>
      <c r="BF51" s="31">
        <v>0.68627593493751937</v>
      </c>
      <c r="BG51" s="31">
        <v>1702.4118740100002</v>
      </c>
      <c r="BI51" s="31">
        <v>68.627593493751931</v>
      </c>
      <c r="BJ51" s="31">
        <v>1702.4118740100002</v>
      </c>
      <c r="BM51" s="31">
        <v>0.59906976739999995</v>
      </c>
      <c r="BN51" s="31">
        <v>4111.3172539999996</v>
      </c>
      <c r="BP51" s="31">
        <v>59.906976739999998</v>
      </c>
      <c r="BQ51" s="31">
        <v>4111.3172539999996</v>
      </c>
    </row>
    <row r="52" spans="10:69" ht="20.25" customHeight="1">
      <c r="J52" s="31">
        <v>5.5796055790123464</v>
      </c>
      <c r="K52" s="31">
        <v>0.49116279069999996</v>
      </c>
      <c r="P52" s="31">
        <v>0.49116279069999996</v>
      </c>
      <c r="Q52" s="31">
        <v>5.5796055790123464</v>
      </c>
      <c r="T52" s="31">
        <v>0.56744186050000001</v>
      </c>
      <c r="U52" s="31">
        <v>5.2222909370370365</v>
      </c>
      <c r="V52" s="31">
        <v>27.272322631059168</v>
      </c>
      <c r="W52" s="31">
        <v>142.42400330813035</v>
      </c>
      <c r="X52" s="31">
        <v>743.77958169258204</v>
      </c>
      <c r="Y52" s="31">
        <v>0.5820433071951483</v>
      </c>
      <c r="Z52" s="31">
        <v>1.460144669514829E-2</v>
      </c>
      <c r="AA52" s="31">
        <v>2.5732057698884359E-2</v>
      </c>
      <c r="AW52" s="31">
        <v>0.66543300481865697</v>
      </c>
      <c r="AX52" s="31">
        <v>1.8177237226666667</v>
      </c>
      <c r="AZ52" s="31">
        <v>0.68930569736032044</v>
      </c>
      <c r="BA52" s="31">
        <v>2.1585469206666668</v>
      </c>
      <c r="BF52" s="31">
        <v>0.68930569736032044</v>
      </c>
      <c r="BG52" s="31">
        <v>1748.42300574</v>
      </c>
      <c r="BI52" s="31">
        <v>68.930569736032041</v>
      </c>
      <c r="BJ52" s="31">
        <v>1748.42300574</v>
      </c>
      <c r="BM52" s="31">
        <v>0.56744186050000001</v>
      </c>
      <c r="BN52" s="31">
        <v>4230.0556589999997</v>
      </c>
      <c r="BP52" s="31">
        <v>56.744186050000003</v>
      </c>
      <c r="BQ52" s="31">
        <v>4230.0556589999997</v>
      </c>
    </row>
    <row r="53" spans="10:69" ht="20.25" customHeight="1">
      <c r="J53" s="31">
        <v>5.6803866333333337</v>
      </c>
      <c r="K53" s="31">
        <v>0.46325581399999999</v>
      </c>
      <c r="P53" s="31">
        <v>0.46325581399999999</v>
      </c>
      <c r="Q53" s="31">
        <v>5.6803866333333337</v>
      </c>
      <c r="T53" s="31">
        <v>0.53767441859999998</v>
      </c>
      <c r="U53" s="31">
        <v>5.3597196456790117</v>
      </c>
      <c r="V53" s="31">
        <v>28.72659468027755</v>
      </c>
      <c r="W53" s="31">
        <v>153.96649386134177</v>
      </c>
      <c r="X53" s="31">
        <v>825.21724192495049</v>
      </c>
      <c r="Y53" s="31">
        <v>0.54833257915024913</v>
      </c>
      <c r="Z53" s="31">
        <v>1.0658160550249152E-2</v>
      </c>
      <c r="AA53" s="31">
        <v>1.9822703445704068E-2</v>
      </c>
      <c r="AW53" s="31">
        <v>0.67280408681941939</v>
      </c>
      <c r="AX53" s="31">
        <v>1.9029295221666664</v>
      </c>
      <c r="AZ53" s="31">
        <v>0.6920233644006466</v>
      </c>
      <c r="BA53" s="31">
        <v>2.2153507870000002</v>
      </c>
      <c r="BF53" s="31">
        <v>0.6920233644006466</v>
      </c>
      <c r="BG53" s="31">
        <v>1794.43413747</v>
      </c>
      <c r="BI53" s="31">
        <v>69.202336440064656</v>
      </c>
      <c r="BJ53" s="31">
        <v>1794.43413747</v>
      </c>
      <c r="BM53" s="31">
        <v>0.53767441859999998</v>
      </c>
      <c r="BN53" s="31">
        <v>4341.3729129999992</v>
      </c>
      <c r="BP53" s="31">
        <v>53.767441859999998</v>
      </c>
      <c r="BQ53" s="31">
        <v>4341.3729129999992</v>
      </c>
    </row>
    <row r="54" spans="10:69" ht="20.25" customHeight="1">
      <c r="T54" s="31">
        <v>0.51720930230000006</v>
      </c>
      <c r="U54" s="31">
        <v>5.4696626123456795</v>
      </c>
      <c r="V54" s="31">
        <v>29.917209092892165</v>
      </c>
      <c r="W54" s="31">
        <v>163.63704004112049</v>
      </c>
      <c r="X54" s="31">
        <v>895.03939990782965</v>
      </c>
      <c r="Y54" s="31">
        <v>0.51679450492382206</v>
      </c>
      <c r="Z54" s="31">
        <v>-4.1479737617799994E-4</v>
      </c>
      <c r="AA54" s="31">
        <v>-8.0199132988022421E-4</v>
      </c>
      <c r="AW54" s="31">
        <v>0.67916871310337135</v>
      </c>
      <c r="AX54" s="31">
        <v>1.9881353216666666</v>
      </c>
      <c r="AZ54" s="31">
        <v>0.69445498674935324</v>
      </c>
      <c r="BA54" s="31">
        <v>2.2721546533333332</v>
      </c>
      <c r="BF54" s="31">
        <v>0.69445498674935324</v>
      </c>
      <c r="BG54" s="31">
        <v>1840.4452691999998</v>
      </c>
      <c r="BI54" s="31">
        <v>69.445498674935322</v>
      </c>
      <c r="BJ54" s="31">
        <v>1840.4452691999998</v>
      </c>
      <c r="BM54" s="31">
        <v>0.51720930230000006</v>
      </c>
      <c r="BN54" s="31">
        <v>4430.4267160000009</v>
      </c>
      <c r="BP54" s="31">
        <v>51.720930230000008</v>
      </c>
      <c r="BQ54" s="31">
        <v>4430.4267160000009</v>
      </c>
    </row>
    <row r="55" spans="10:69" ht="20.25" customHeight="1">
      <c r="T55" s="31">
        <v>0.49116279069999996</v>
      </c>
      <c r="U55" s="31">
        <v>5.5796055790123464</v>
      </c>
      <c r="V55" s="31">
        <v>31.131998417345702</v>
      </c>
      <c r="W55" s="31">
        <v>173.70427205522563</v>
      </c>
      <c r="X55" s="31">
        <v>969.20132545761533</v>
      </c>
      <c r="Y55" s="31">
        <v>0.48075722104400787</v>
      </c>
      <c r="Z55" s="31">
        <v>-1.0405569655992097E-2</v>
      </c>
      <c r="AA55" s="31">
        <v>-2.1185582159353299E-2</v>
      </c>
      <c r="AW55" s="31">
        <v>0.68463548292504961</v>
      </c>
      <c r="AX55" s="31">
        <v>2.0733411211666661</v>
      </c>
      <c r="AZ55" s="31">
        <v>0.69662517348175657</v>
      </c>
      <c r="BA55" s="31">
        <v>2.3289585196666667</v>
      </c>
      <c r="BF55" s="31">
        <v>0.69662517348175657</v>
      </c>
      <c r="BG55" s="31">
        <v>1886.45640093</v>
      </c>
      <c r="BI55" s="31">
        <v>69.662517348175655</v>
      </c>
      <c r="BJ55" s="31">
        <v>1886.45640093</v>
      </c>
      <c r="BM55" s="31">
        <v>0.49116279069999996</v>
      </c>
      <c r="BN55" s="31">
        <v>4519.4805190000006</v>
      </c>
      <c r="BP55" s="31">
        <v>49.116279069999997</v>
      </c>
      <c r="BQ55" s="31">
        <v>4519.4805190000006</v>
      </c>
    </row>
    <row r="56" spans="10:69" ht="20.25" customHeight="1">
      <c r="T56" s="31">
        <v>0.46325581399999999</v>
      </c>
      <c r="U56" s="31">
        <v>5.6803866333333337</v>
      </c>
      <c r="V56" s="31">
        <v>32.266792304152005</v>
      </c>
      <c r="W56" s="31">
        <v>183.28785570504795</v>
      </c>
      <c r="X56" s="31">
        <v>1041.145885599283</v>
      </c>
      <c r="Y56" s="31">
        <v>0.44340774962849516</v>
      </c>
      <c r="Z56" s="31">
        <v>-1.9848064371504825E-2</v>
      </c>
      <c r="AA56" s="31">
        <v>-4.2844717263504924E-2</v>
      </c>
      <c r="AW56" s="31">
        <v>0.68930569736032044</v>
      </c>
      <c r="AX56" s="31">
        <v>2.1585469206666668</v>
      </c>
      <c r="AZ56" s="31">
        <v>0.69855709205763183</v>
      </c>
      <c r="BA56" s="31">
        <v>2.3857623860000001</v>
      </c>
      <c r="BF56" s="31">
        <v>0.69855709205763183</v>
      </c>
      <c r="BG56" s="31">
        <v>1932.4675326600002</v>
      </c>
      <c r="BI56" s="31">
        <v>69.855709205763191</v>
      </c>
      <c r="BJ56" s="31">
        <v>1932.4675326600002</v>
      </c>
      <c r="BM56" s="31">
        <v>0.46325581399999999</v>
      </c>
      <c r="BN56" s="31">
        <v>4601.1131730000006</v>
      </c>
      <c r="BP56" s="31">
        <v>46.325581399999997</v>
      </c>
      <c r="BQ56" s="31">
        <v>4601.1131730000006</v>
      </c>
    </row>
    <row r="57" spans="10:69" ht="20.25" customHeight="1">
      <c r="AW57" s="31">
        <v>0.69327335930638112</v>
      </c>
      <c r="AX57" s="31">
        <v>2.2437527201666665</v>
      </c>
      <c r="AZ57" s="31">
        <v>0.70027246832121537</v>
      </c>
      <c r="BA57" s="31">
        <v>2.4425662523333336</v>
      </c>
      <c r="BF57" s="31">
        <v>0.70027246832121537</v>
      </c>
      <c r="BG57" s="31">
        <v>1978.4786643900004</v>
      </c>
      <c r="BI57" s="31">
        <v>70.027246832121534</v>
      </c>
      <c r="BJ57" s="31">
        <v>1978.4786643900006</v>
      </c>
      <c r="BN57" s="31">
        <v>0</v>
      </c>
      <c r="BQ57" s="31">
        <v>0</v>
      </c>
    </row>
    <row r="58" spans="10:69" ht="20.25" customHeight="1">
      <c r="AW58" s="31">
        <v>0.69662517348175657</v>
      </c>
      <c r="AX58" s="31">
        <v>2.3289585196666662</v>
      </c>
      <c r="AZ58" s="31">
        <v>0.70179158650120477</v>
      </c>
      <c r="BA58" s="31">
        <v>2.4993701186666666</v>
      </c>
      <c r="BF58" s="31">
        <v>0.70179158650120477</v>
      </c>
      <c r="BG58" s="31">
        <v>2024.4897961200002</v>
      </c>
      <c r="BI58" s="31">
        <v>70.17915865012047</v>
      </c>
      <c r="BJ58" s="31">
        <v>2024.4897961200002</v>
      </c>
      <c r="BN58" s="31">
        <v>0</v>
      </c>
      <c r="BQ58" s="31">
        <v>0</v>
      </c>
    </row>
    <row r="59" spans="10:69" ht="20.25" customHeight="1">
      <c r="AW59" s="31">
        <v>0.69944054642630249</v>
      </c>
      <c r="AX59" s="31">
        <v>2.4141643191666668</v>
      </c>
      <c r="AZ59" s="31">
        <v>0.70313328921075402</v>
      </c>
      <c r="BA59" s="31">
        <v>2.556173985</v>
      </c>
      <c r="BF59" s="31">
        <v>0.70313328921075402</v>
      </c>
      <c r="BG59" s="31">
        <v>2070.5009278499997</v>
      </c>
      <c r="BI59" s="31">
        <v>70.313328921075396</v>
      </c>
      <c r="BJ59" s="31">
        <v>2070.5009278499997</v>
      </c>
      <c r="BN59" s="31">
        <v>0</v>
      </c>
      <c r="BQ59" s="31">
        <v>0</v>
      </c>
    </row>
    <row r="60" spans="10:69" ht="20.25" customHeight="1">
      <c r="AW60" s="31">
        <v>0.70179158650120477</v>
      </c>
      <c r="AX60" s="31">
        <v>2.4993701186666666</v>
      </c>
      <c r="AZ60" s="31">
        <v>0.70431497744748151</v>
      </c>
      <c r="BA60" s="31">
        <v>2.6129778513333335</v>
      </c>
      <c r="BF60" s="31">
        <v>0.70431497744748151</v>
      </c>
      <c r="BG60" s="31">
        <v>2116.5120595799999</v>
      </c>
      <c r="BI60" s="31">
        <v>70.431497744748157</v>
      </c>
      <c r="BJ60" s="31">
        <v>2116.5120595800004</v>
      </c>
      <c r="BN60" s="31">
        <v>0</v>
      </c>
      <c r="BQ60" s="31">
        <v>0</v>
      </c>
    </row>
    <row r="61" spans="10:69" ht="20.25" customHeight="1">
      <c r="AW61" s="31">
        <v>0.70374310388897632</v>
      </c>
      <c r="AX61" s="31">
        <v>2.5845759181666663</v>
      </c>
      <c r="AZ61" s="31">
        <v>0.7053526105934631</v>
      </c>
      <c r="BA61" s="31">
        <v>2.6697817176666669</v>
      </c>
      <c r="BF61" s="31">
        <v>0.7053526105934631</v>
      </c>
      <c r="BG61" s="31">
        <v>2162.5231913100001</v>
      </c>
      <c r="BI61" s="31">
        <v>70.535261059346311</v>
      </c>
      <c r="BJ61" s="31">
        <v>2162.5231913100001</v>
      </c>
      <c r="BN61" s="31">
        <v>0</v>
      </c>
      <c r="BQ61" s="31">
        <v>0</v>
      </c>
    </row>
    <row r="62" spans="10:69" ht="20.25" customHeight="1">
      <c r="AW62" s="31">
        <v>0.70535261059346266</v>
      </c>
      <c r="AX62" s="31">
        <v>2.6697817176666661</v>
      </c>
      <c r="AZ62" s="31">
        <v>0.70626070641523553</v>
      </c>
      <c r="BA62" s="31">
        <v>2.726585584</v>
      </c>
      <c r="BF62" s="31">
        <v>0.70626070641523553</v>
      </c>
      <c r="BG62" s="31">
        <v>2208.5343230399999</v>
      </c>
      <c r="BI62" s="31">
        <v>70.626070641523555</v>
      </c>
      <c r="BJ62" s="31">
        <v>2208.5343230399999</v>
      </c>
      <c r="BN62" s="31">
        <v>0</v>
      </c>
      <c r="BQ62" s="31">
        <v>0</v>
      </c>
    </row>
    <row r="63" spans="10:69" ht="20.25" customHeight="1">
      <c r="AW63" s="31">
        <v>0.70667032043983746</v>
      </c>
      <c r="AX63" s="31">
        <v>2.7549875171666667</v>
      </c>
      <c r="AZ63" s="31">
        <v>0.70705234106379677</v>
      </c>
      <c r="BA63" s="31">
        <v>2.7833894503333334</v>
      </c>
      <c r="BF63" s="31">
        <v>0.70705234106379677</v>
      </c>
      <c r="BG63" s="31">
        <v>2254.5454547700001</v>
      </c>
      <c r="BI63" s="31">
        <v>70.705234106379677</v>
      </c>
      <c r="BJ63" s="31">
        <v>2254.5454547700001</v>
      </c>
      <c r="BN63" s="31">
        <v>0</v>
      </c>
      <c r="BQ63" s="31">
        <v>0</v>
      </c>
    </row>
    <row r="64" spans="10:69" ht="20.25" customHeight="1">
      <c r="AW64" s="31">
        <v>0.70773914907460256</v>
      </c>
      <c r="AX64" s="31">
        <v>2.8401933166666664</v>
      </c>
      <c r="AZ64" s="31">
        <v>0.707739149074603</v>
      </c>
      <c r="BA64" s="31">
        <v>2.8401933166666669</v>
      </c>
      <c r="BF64" s="31">
        <v>0.707739149074603</v>
      </c>
      <c r="BG64" s="31">
        <v>2300.5565865000003</v>
      </c>
      <c r="BI64" s="31">
        <v>70.773914907460295</v>
      </c>
      <c r="BJ64" s="31">
        <v>2300.5565865000003</v>
      </c>
      <c r="BN64" s="31">
        <v>0</v>
      </c>
      <c r="BQ64" s="31">
        <v>0</v>
      </c>
    </row>
    <row r="65" spans="49:69" ht="20.25" customHeight="1">
      <c r="AW65" s="31">
        <v>0.70859471396559259</v>
      </c>
      <c r="AX65" s="31">
        <v>2.9253991161666661</v>
      </c>
      <c r="AZ65" s="31">
        <v>0.7083313233675721</v>
      </c>
      <c r="BA65" s="31">
        <v>2.8969971829999999</v>
      </c>
      <c r="BF65" s="31">
        <v>0.7083313233675721</v>
      </c>
      <c r="BG65" s="31">
        <v>2346.5677182300001</v>
      </c>
      <c r="BI65" s="31">
        <v>70.833132336757217</v>
      </c>
      <c r="BJ65" s="31">
        <v>2346.5677182300001</v>
      </c>
      <c r="BN65" s="31">
        <v>0</v>
      </c>
      <c r="BQ65" s="31">
        <v>0</v>
      </c>
    </row>
    <row r="66" spans="49:69" ht="20.25" customHeight="1">
      <c r="AW66" s="31">
        <v>0.70926533440196837</v>
      </c>
      <c r="AX66" s="31">
        <v>3.0106049156666659</v>
      </c>
      <c r="AZ66" s="31">
        <v>0.70883761524708122</v>
      </c>
      <c r="BA66" s="31">
        <v>2.9538010493333333</v>
      </c>
      <c r="BF66" s="31">
        <v>0.70883761524708122</v>
      </c>
      <c r="BG66" s="31">
        <v>2392.5788499599998</v>
      </c>
      <c r="BI66" s="31">
        <v>70.88376152470812</v>
      </c>
      <c r="BJ66" s="31">
        <v>2392.5788499599998</v>
      </c>
      <c r="BN66" s="31">
        <v>0</v>
      </c>
      <c r="BQ66" s="31">
        <v>0</v>
      </c>
    </row>
    <row r="67" spans="49:69" ht="20.25" customHeight="1">
      <c r="AW67" s="31">
        <v>0.70977203149422374</v>
      </c>
      <c r="AX67" s="31">
        <v>3.0958107151666665</v>
      </c>
      <c r="AZ67" s="31">
        <v>0.70926533440196882</v>
      </c>
      <c r="BA67" s="31">
        <v>3.0106049156666668</v>
      </c>
      <c r="BF67" s="31">
        <v>0.70926533440196882</v>
      </c>
      <c r="BG67" s="31">
        <v>2438.5899816900001</v>
      </c>
      <c r="BI67" s="31">
        <v>70.926533440196877</v>
      </c>
      <c r="BJ67" s="31">
        <v>2438.5899816900005</v>
      </c>
      <c r="BN67" s="31">
        <v>0</v>
      </c>
      <c r="BQ67" s="31">
        <v>0</v>
      </c>
    </row>
    <row r="68" spans="49:69" ht="20.25" customHeight="1">
      <c r="AW68" s="31">
        <v>0.71012852817417804</v>
      </c>
      <c r="AX68" s="31">
        <v>3.1810165146666662</v>
      </c>
      <c r="AZ68" s="31">
        <v>0.70962034890553194</v>
      </c>
      <c r="BA68" s="31">
        <v>3.0674087820000002</v>
      </c>
      <c r="BF68" s="31">
        <v>0.70962034890553194</v>
      </c>
      <c r="BG68" s="31">
        <v>2484.6011134200003</v>
      </c>
      <c r="BI68" s="31">
        <v>70.962034890553198</v>
      </c>
      <c r="BJ68" s="31">
        <v>2484.6011134200003</v>
      </c>
      <c r="BN68" s="31">
        <v>0</v>
      </c>
      <c r="BQ68" s="31">
        <v>0</v>
      </c>
    </row>
    <row r="69" spans="49:69" ht="20.25" customHeight="1">
      <c r="AW69" s="31">
        <v>0.7103412491949832</v>
      </c>
      <c r="AX69" s="31">
        <v>3.266222314166666</v>
      </c>
      <c r="AZ69" s="31">
        <v>0.70990708521552892</v>
      </c>
      <c r="BA69" s="31">
        <v>3.1242126483333332</v>
      </c>
      <c r="BF69" s="31">
        <v>0.70990708521552892</v>
      </c>
      <c r="BG69" s="31">
        <v>2530.6122451499996</v>
      </c>
      <c r="BI69" s="31">
        <v>70.990708521552889</v>
      </c>
      <c r="BJ69" s="31">
        <v>2530.6122451499996</v>
      </c>
      <c r="BN69" s="31">
        <v>0</v>
      </c>
      <c r="BQ69" s="31">
        <v>0</v>
      </c>
    </row>
    <row r="70" spans="49:69" ht="20.25" customHeight="1">
      <c r="AW70" s="31">
        <v>0.71040932113112087</v>
      </c>
      <c r="AX70" s="31">
        <v>3.3514281136666666</v>
      </c>
      <c r="AZ70" s="31">
        <v>0.71012852817417804</v>
      </c>
      <c r="BA70" s="31">
        <v>3.1810165146666667</v>
      </c>
      <c r="BF70" s="31">
        <v>0.71012852817417804</v>
      </c>
      <c r="BG70" s="31">
        <v>2576.6233768799998</v>
      </c>
      <c r="BI70" s="31">
        <v>71.012852817417809</v>
      </c>
      <c r="BJ70" s="31">
        <v>2576.6233768799998</v>
      </c>
      <c r="BN70" s="31">
        <v>0</v>
      </c>
      <c r="BQ70" s="31">
        <v>0</v>
      </c>
    </row>
    <row r="71" spans="49:69" ht="20.25" customHeight="1">
      <c r="AW71" s="31">
        <v>0.71032457237840041</v>
      </c>
      <c r="AX71" s="31">
        <v>3.4366339131666663</v>
      </c>
      <c r="AZ71" s="31">
        <v>0.7102862210081573</v>
      </c>
      <c r="BA71" s="31">
        <v>3.2378203810000001</v>
      </c>
      <c r="BF71" s="31">
        <v>0.7102862210081573</v>
      </c>
      <c r="BG71" s="31">
        <v>2622.63450861</v>
      </c>
      <c r="BI71" s="31">
        <v>71.028622100815724</v>
      </c>
      <c r="BJ71" s="31">
        <v>2622.63450861</v>
      </c>
      <c r="BN71" s="31">
        <v>0</v>
      </c>
      <c r="BQ71" s="31">
        <v>0</v>
      </c>
    </row>
    <row r="72" spans="49:69" ht="20.25" customHeight="1">
      <c r="AW72" s="31">
        <v>0.71007153315396132</v>
      </c>
      <c r="AX72" s="31">
        <v>3.5218397126666661</v>
      </c>
      <c r="AZ72" s="31">
        <v>0.71038026532860488</v>
      </c>
      <c r="BA72" s="31">
        <v>3.2946242473333336</v>
      </c>
      <c r="BF72" s="31">
        <v>0.71038026532860488</v>
      </c>
      <c r="BG72" s="31">
        <v>2668.6456403400002</v>
      </c>
      <c r="BI72" s="31">
        <v>71.038026532860485</v>
      </c>
      <c r="BJ72" s="31">
        <v>2668.6456403400002</v>
      </c>
      <c r="BN72" s="31">
        <v>0</v>
      </c>
      <c r="BQ72" s="31">
        <v>0</v>
      </c>
    </row>
    <row r="73" spans="49:69" ht="20.25" customHeight="1">
      <c r="AW73" s="31">
        <v>0.70962743549627239</v>
      </c>
      <c r="AX73" s="31">
        <v>3.6070455121666667</v>
      </c>
      <c r="AZ73" s="31">
        <v>0.71040932113112087</v>
      </c>
      <c r="BA73" s="31">
        <v>3.3514281136666666</v>
      </c>
      <c r="BF73" s="31">
        <v>0.71040932113112087</v>
      </c>
      <c r="BG73" s="31">
        <v>2714.6567720699995</v>
      </c>
      <c r="BI73" s="31">
        <v>71.040932113112092</v>
      </c>
      <c r="BJ73" s="31">
        <v>2714.6567720699995</v>
      </c>
      <c r="BN73" s="31">
        <v>0</v>
      </c>
      <c r="BQ73" s="31">
        <v>0</v>
      </c>
    </row>
    <row r="74" spans="49:69" ht="20.25" customHeight="1">
      <c r="AW74" s="31">
        <v>0.70896221326513476</v>
      </c>
      <c r="AX74" s="31">
        <v>3.6922513116666664</v>
      </c>
      <c r="AZ74" s="31">
        <v>0.71037060679576292</v>
      </c>
      <c r="BA74" s="31">
        <v>3.40823198</v>
      </c>
      <c r="BF74" s="31">
        <v>0.71037060679576292</v>
      </c>
      <c r="BG74" s="31">
        <v>2760.6679038000002</v>
      </c>
      <c r="BI74" s="31">
        <v>71.037060679576285</v>
      </c>
      <c r="BJ74" s="31">
        <v>2760.6679038000007</v>
      </c>
      <c r="BN74" s="31">
        <v>0</v>
      </c>
      <c r="BQ74" s="31">
        <v>0</v>
      </c>
    </row>
    <row r="75" spans="49:69" ht="20.25" customHeight="1">
      <c r="AW75" s="31">
        <v>0.7080385021416753</v>
      </c>
      <c r="AX75" s="31">
        <v>3.7774571111666662</v>
      </c>
      <c r="AZ75" s="31">
        <v>0.71025989908704967</v>
      </c>
      <c r="BA75" s="31">
        <v>3.4650358463333335</v>
      </c>
      <c r="BF75" s="31">
        <v>0.71025989908704967</v>
      </c>
      <c r="BG75" s="31">
        <v>2806.6790355300004</v>
      </c>
      <c r="BI75" s="31">
        <v>71.025989908704972</v>
      </c>
      <c r="BJ75" s="31">
        <v>2806.6790355300004</v>
      </c>
      <c r="BN75" s="31">
        <v>0</v>
      </c>
      <c r="BQ75" s="31">
        <v>0</v>
      </c>
    </row>
    <row r="76" spans="49:69" ht="20.25" customHeight="1">
      <c r="AW76" s="31">
        <v>0.70681163962835059</v>
      </c>
      <c r="AX76" s="31">
        <v>3.8626629106666659</v>
      </c>
      <c r="AZ76" s="31">
        <v>0.71007153315396088</v>
      </c>
      <c r="BA76" s="31">
        <v>3.521839712666667</v>
      </c>
      <c r="BF76" s="31">
        <v>0.71007153315396088</v>
      </c>
      <c r="BG76" s="31">
        <v>2852.6901672600002</v>
      </c>
      <c r="BI76" s="31">
        <v>71.007153315396081</v>
      </c>
      <c r="BJ76" s="31">
        <v>2852.6901672600002</v>
      </c>
      <c r="BN76" s="31">
        <v>0</v>
      </c>
      <c r="BQ76" s="31">
        <v>0</v>
      </c>
    </row>
    <row r="77" spans="49:69" ht="20.25" customHeight="1">
      <c r="AW77" s="31">
        <v>0.70522966504895179</v>
      </c>
      <c r="AX77" s="31">
        <v>3.9478687101666665</v>
      </c>
      <c r="AZ77" s="31">
        <v>0.70979840252993642</v>
      </c>
      <c r="BA77" s="31">
        <v>3.578643579</v>
      </c>
      <c r="BF77" s="31">
        <v>0.70979840252993642</v>
      </c>
      <c r="BG77" s="31">
        <v>2898.7012989899999</v>
      </c>
      <c r="BI77" s="31">
        <v>70.97984025299364</v>
      </c>
      <c r="BJ77" s="31">
        <v>2898.7012989899999</v>
      </c>
      <c r="BN77" s="31">
        <v>0</v>
      </c>
      <c r="BQ77" s="31">
        <v>0</v>
      </c>
    </row>
    <row r="78" spans="49:69" ht="20.25" customHeight="1">
      <c r="AW78" s="31">
        <v>0.70323331954859447</v>
      </c>
      <c r="AX78" s="31">
        <v>4.0330745096666663</v>
      </c>
      <c r="AZ78" s="31">
        <v>0.70943195913287371</v>
      </c>
      <c r="BA78" s="31">
        <v>3.6354474453333334</v>
      </c>
      <c r="BF78" s="31">
        <v>0.70943195913287371</v>
      </c>
      <c r="BG78" s="31">
        <v>2944.7124307200002</v>
      </c>
      <c r="BI78" s="31">
        <v>70.943195913287369</v>
      </c>
      <c r="BJ78" s="31">
        <v>2944.7124307200002</v>
      </c>
      <c r="BN78" s="31">
        <v>0</v>
      </c>
      <c r="BQ78" s="31">
        <v>0</v>
      </c>
    </row>
    <row r="79" spans="49:69" ht="20.25" customHeight="1">
      <c r="AW79" s="31">
        <v>0.70075604609372433</v>
      </c>
      <c r="AX79" s="31">
        <v>4.118280309166666</v>
      </c>
      <c r="AZ79" s="31">
        <v>0.70896221326513476</v>
      </c>
      <c r="BA79" s="31">
        <v>3.6922513116666669</v>
      </c>
      <c r="BF79" s="31">
        <v>0.70896221326513476</v>
      </c>
      <c r="BG79" s="31">
        <v>2990.7235624499999</v>
      </c>
      <c r="BI79" s="31">
        <v>70.896221326513469</v>
      </c>
      <c r="BJ79" s="31">
        <v>2990.7235624500004</v>
      </c>
      <c r="BN79" s="31">
        <v>0</v>
      </c>
      <c r="BQ79" s="31">
        <v>0</v>
      </c>
    </row>
    <row r="80" spans="49:69" ht="20.25" customHeight="1">
      <c r="AW80" s="31">
        <v>0.69772398947211589</v>
      </c>
      <c r="AX80" s="31">
        <v>4.2034861086666666</v>
      </c>
      <c r="AZ80" s="31">
        <v>0.70837773361353862</v>
      </c>
      <c r="BA80" s="31">
        <v>3.7490551779999999</v>
      </c>
      <c r="BF80" s="31">
        <v>0.70837773361353862</v>
      </c>
      <c r="BG80" s="31">
        <v>3036.7346941799997</v>
      </c>
      <c r="BI80" s="31">
        <v>70.837773361353868</v>
      </c>
      <c r="BJ80" s="31">
        <v>3036.7346941799997</v>
      </c>
      <c r="BN80" s="31">
        <v>0</v>
      </c>
      <c r="BQ80" s="31">
        <v>0</v>
      </c>
    </row>
    <row r="81" spans="49:69" ht="20.25" customHeight="1">
      <c r="AW81" s="31">
        <v>0.69405599629288095</v>
      </c>
      <c r="AX81" s="31">
        <v>4.2886919081666663</v>
      </c>
      <c r="AZ81" s="31">
        <v>0.70766564724936365</v>
      </c>
      <c r="BA81" s="31">
        <v>3.8058590443333333</v>
      </c>
      <c r="BF81" s="31">
        <v>0.70766564724936365</v>
      </c>
      <c r="BG81" s="31">
        <v>3082.7458259099999</v>
      </c>
      <c r="BI81" s="31">
        <v>70.766564724936359</v>
      </c>
      <c r="BJ81" s="31">
        <v>3082.7458259099999</v>
      </c>
      <c r="BN81" s="31">
        <v>0</v>
      </c>
      <c r="BQ81" s="31">
        <v>0</v>
      </c>
    </row>
    <row r="82" spans="49:69" ht="20.25" customHeight="1">
      <c r="AW82" s="31">
        <v>0.68966361498644813</v>
      </c>
      <c r="AX82" s="31">
        <v>4.3738977076666661</v>
      </c>
      <c r="AZ82" s="31">
        <v>0.70681163962835147</v>
      </c>
      <c r="BA82" s="31">
        <v>3.8626629106666668</v>
      </c>
      <c r="BF82" s="31">
        <v>0.70681163962835147</v>
      </c>
      <c r="BG82" s="31">
        <v>3128.7569576400001</v>
      </c>
      <c r="BI82" s="31">
        <v>70.681163962835143</v>
      </c>
      <c r="BJ82" s="31">
        <v>3128.7569576400001</v>
      </c>
      <c r="BN82" s="31">
        <v>0</v>
      </c>
      <c r="BQ82" s="31">
        <v>0</v>
      </c>
    </row>
    <row r="83" spans="49:69" ht="20.25" customHeight="1">
      <c r="AW83" s="31">
        <v>0.68445109580458952</v>
      </c>
      <c r="AX83" s="31">
        <v>4.4591035071666658</v>
      </c>
      <c r="AZ83" s="31">
        <v>0.70579995459070211</v>
      </c>
      <c r="BA83" s="31">
        <v>3.9194667770000002</v>
      </c>
      <c r="BF83" s="31">
        <v>0.70579995459070211</v>
      </c>
      <c r="BG83" s="31">
        <v>3174.7680893699999</v>
      </c>
      <c r="BI83" s="31">
        <v>70.579995459070204</v>
      </c>
      <c r="BJ83" s="31">
        <v>3174.7680893699999</v>
      </c>
      <c r="BN83" s="31">
        <v>0</v>
      </c>
      <c r="BQ83" s="31">
        <v>0</v>
      </c>
    </row>
    <row r="84" spans="49:69" ht="20.25" customHeight="1">
      <c r="AW84" s="31">
        <v>0.67831539082039316</v>
      </c>
      <c r="AX84" s="31">
        <v>4.5443093066666664</v>
      </c>
      <c r="AZ84" s="31">
        <v>0.70461339436107662</v>
      </c>
      <c r="BA84" s="31">
        <v>3.9762706433333332</v>
      </c>
      <c r="BF84" s="31">
        <v>0.70461339436107662</v>
      </c>
      <c r="BG84" s="31">
        <v>3220.7792210999996</v>
      </c>
      <c r="BI84" s="31">
        <v>70.461339436107664</v>
      </c>
      <c r="BJ84" s="31">
        <v>3220.7792210999996</v>
      </c>
      <c r="BN84" s="31">
        <v>0</v>
      </c>
      <c r="BQ84" s="31">
        <v>0</v>
      </c>
    </row>
    <row r="85" spans="49:69" ht="20.25" customHeight="1">
      <c r="AW85" s="31">
        <v>0.67114615392828703</v>
      </c>
      <c r="AX85" s="31">
        <v>4.6295151061666662</v>
      </c>
      <c r="AZ85" s="31">
        <v>0.70323331954859403</v>
      </c>
      <c r="BA85" s="31">
        <v>4.0330745096666671</v>
      </c>
      <c r="BF85" s="31">
        <v>0.70323331954859403</v>
      </c>
      <c r="BG85" s="31">
        <v>3266.7903528300003</v>
      </c>
      <c r="BI85" s="31">
        <v>70.323331954859398</v>
      </c>
      <c r="BJ85" s="31">
        <v>3266.7903528300003</v>
      </c>
      <c r="BN85" s="31">
        <v>0</v>
      </c>
      <c r="BQ85" s="31">
        <v>0</v>
      </c>
    </row>
    <row r="86" spans="49:69" ht="20.25" customHeight="1">
      <c r="AW86" s="31">
        <v>0.66282574084402524</v>
      </c>
      <c r="AX86" s="31">
        <v>4.7147209056666659</v>
      </c>
      <c r="AZ86" s="31">
        <v>0.7016396491468353</v>
      </c>
      <c r="BA86" s="31">
        <v>4.0898783759999997</v>
      </c>
      <c r="BF86" s="31">
        <v>0.7016396491468353</v>
      </c>
      <c r="BG86" s="31">
        <v>3312.8014845599996</v>
      </c>
      <c r="BI86" s="31">
        <v>70.163964914683532</v>
      </c>
      <c r="BJ86" s="31">
        <v>3312.8014845600001</v>
      </c>
      <c r="BN86" s="31">
        <v>0</v>
      </c>
      <c r="BQ86" s="31">
        <v>0</v>
      </c>
    </row>
    <row r="87" spans="49:69" ht="20.25" customHeight="1">
      <c r="AW87" s="31">
        <v>0.65322920910468585</v>
      </c>
      <c r="AX87" s="31">
        <v>4.7999267051666665</v>
      </c>
      <c r="AZ87" s="31">
        <v>0.69981086053384334</v>
      </c>
      <c r="BA87" s="31">
        <v>4.1466822423333332</v>
      </c>
      <c r="BF87" s="31">
        <v>0.69981086053384334</v>
      </c>
      <c r="BG87" s="31">
        <v>3358.8126162899998</v>
      </c>
      <c r="BI87" s="31">
        <v>69.981086053384331</v>
      </c>
      <c r="BJ87" s="31">
        <v>3358.8126162899998</v>
      </c>
      <c r="BN87" s="31">
        <v>0</v>
      </c>
      <c r="BQ87" s="31">
        <v>0</v>
      </c>
    </row>
    <row r="88" spans="49:69" ht="20.25" customHeight="1">
      <c r="AW88" s="31">
        <v>0.64222431806868774</v>
      </c>
      <c r="AX88" s="31">
        <v>4.8851325046666663</v>
      </c>
      <c r="AZ88" s="31">
        <v>0.69772398947211589</v>
      </c>
      <c r="BA88" s="31">
        <v>4.2034861086666666</v>
      </c>
      <c r="BF88" s="31">
        <v>0.69772398947211589</v>
      </c>
      <c r="BG88" s="31">
        <v>3404.8237480200005</v>
      </c>
      <c r="BI88" s="31">
        <v>69.772398947211585</v>
      </c>
      <c r="BJ88" s="31">
        <v>3404.8237480200005</v>
      </c>
      <c r="BN88" s="31">
        <v>0</v>
      </c>
      <c r="BQ88" s="31">
        <v>0</v>
      </c>
    </row>
    <row r="89" spans="49:69" ht="20.25" customHeight="1">
      <c r="AW89" s="31">
        <v>0.62967152891577105</v>
      </c>
      <c r="AX89" s="31">
        <v>4.970338304166666</v>
      </c>
      <c r="AZ89" s="31">
        <v>0.69535463010861842</v>
      </c>
      <c r="BA89" s="31">
        <v>4.2602899750000001</v>
      </c>
      <c r="BF89" s="31">
        <v>0.69535463010861842</v>
      </c>
      <c r="BG89" s="31">
        <v>3450.8348797499998</v>
      </c>
      <c r="BI89" s="31">
        <v>69.535463010861847</v>
      </c>
      <c r="BJ89" s="31">
        <v>3450.8348797499998</v>
      </c>
      <c r="BN89" s="31">
        <v>0</v>
      </c>
      <c r="BQ89" s="31">
        <v>0</v>
      </c>
    </row>
    <row r="90" spans="49:69" ht="20.25" customHeight="1">
      <c r="AW90" s="31">
        <v>0.61542400464700564</v>
      </c>
      <c r="AX90" s="31">
        <v>5.0555441036666666</v>
      </c>
      <c r="AZ90" s="31">
        <v>0.69267693497476857</v>
      </c>
      <c r="BA90" s="31">
        <v>4.3170938413333335</v>
      </c>
      <c r="BF90" s="31">
        <v>0.69267693497476857</v>
      </c>
      <c r="BG90" s="31">
        <v>3496.84601148</v>
      </c>
      <c r="BI90" s="31">
        <v>69.267693497476856</v>
      </c>
      <c r="BJ90" s="31">
        <v>3496.84601148</v>
      </c>
      <c r="BN90" s="31">
        <v>0</v>
      </c>
      <c r="BQ90" s="31">
        <v>0</v>
      </c>
    </row>
    <row r="91" spans="49:69" ht="20.25" customHeight="1">
      <c r="AW91" s="31">
        <v>0.59932761008479507</v>
      </c>
      <c r="AX91" s="31">
        <v>5.1407499031666664</v>
      </c>
      <c r="AZ91" s="31">
        <v>0.68966361498644946</v>
      </c>
      <c r="BA91" s="31">
        <v>4.373897707666667</v>
      </c>
      <c r="BF91" s="31">
        <v>0.68966361498644946</v>
      </c>
      <c r="BG91" s="31">
        <v>3542.8571432100002</v>
      </c>
      <c r="BI91" s="31">
        <v>68.966361498644943</v>
      </c>
      <c r="BJ91" s="31">
        <v>3542.8571432100002</v>
      </c>
      <c r="BN91" s="31">
        <v>0</v>
      </c>
      <c r="BQ91" s="31">
        <v>0</v>
      </c>
    </row>
    <row r="92" spans="49:69" ht="20.25" customHeight="1">
      <c r="AW92" s="31">
        <v>0.58122091187286995</v>
      </c>
      <c r="AX92" s="31">
        <v>5.2259557026666661</v>
      </c>
      <c r="AZ92" s="31">
        <v>0.68628593944400262</v>
      </c>
      <c r="BA92" s="31">
        <v>4.4307015740000004</v>
      </c>
      <c r="BF92" s="31">
        <v>0.68628593944400262</v>
      </c>
      <c r="BG92" s="31">
        <v>3588.86827494</v>
      </c>
      <c r="BI92" s="31">
        <v>68.628593944400265</v>
      </c>
      <c r="BJ92" s="31">
        <v>3588.86827494</v>
      </c>
      <c r="BN92" s="31">
        <v>0</v>
      </c>
      <c r="BQ92" s="31">
        <v>0</v>
      </c>
    </row>
    <row r="93" spans="49:69" ht="20.25" customHeight="1">
      <c r="AW93" s="31">
        <v>0.56093517847629504</v>
      </c>
      <c r="AX93" s="31">
        <v>5.3111615021666658</v>
      </c>
      <c r="AZ93" s="31">
        <v>0.68251373603222887</v>
      </c>
      <c r="BA93" s="31">
        <v>4.4875054403333339</v>
      </c>
      <c r="BF93" s="31">
        <v>0.68251373603222887</v>
      </c>
      <c r="BG93" s="31">
        <v>3634.8794066700007</v>
      </c>
      <c r="BI93" s="31">
        <v>68.251373603222888</v>
      </c>
      <c r="BJ93" s="31">
        <v>3634.8794066700011</v>
      </c>
      <c r="BN93" s="31">
        <v>0</v>
      </c>
      <c r="BQ93" s="31">
        <v>0</v>
      </c>
    </row>
    <row r="94" spans="49:69" ht="20.25" customHeight="1">
      <c r="AW94" s="31">
        <v>0.53829438018145148</v>
      </c>
      <c r="AX94" s="31">
        <v>5.3963673016666664</v>
      </c>
      <c r="AZ94" s="31">
        <v>0.67831539082039316</v>
      </c>
      <c r="BA94" s="31">
        <v>4.5443093066666664</v>
      </c>
      <c r="BF94" s="31">
        <v>0.67831539082039316</v>
      </c>
      <c r="BG94" s="31">
        <v>3680.8905383999995</v>
      </c>
      <c r="BI94" s="31">
        <v>67.831539082039313</v>
      </c>
      <c r="BJ94" s="31">
        <v>3680.8905383999995</v>
      </c>
      <c r="BN94" s="31">
        <v>0</v>
      </c>
      <c r="BQ94" s="31">
        <v>0</v>
      </c>
    </row>
    <row r="95" spans="49:69" ht="20.25" customHeight="1">
      <c r="AW95" s="31">
        <v>0.51311518909606701</v>
      </c>
      <c r="AX95" s="31">
        <v>5.4815731011666662</v>
      </c>
      <c r="AZ95" s="31">
        <v>0.67365784826221575</v>
      </c>
      <c r="BA95" s="31">
        <v>4.6011131729999999</v>
      </c>
      <c r="BF95" s="31">
        <v>0.67365784826221575</v>
      </c>
      <c r="BG95" s="31">
        <v>3726.9016701299993</v>
      </c>
      <c r="BI95" s="31">
        <v>67.365784826221571</v>
      </c>
      <c r="BJ95" s="31">
        <v>3726.9016701299993</v>
      </c>
      <c r="BN95" s="31">
        <v>0</v>
      </c>
      <c r="BQ95" s="31">
        <v>0</v>
      </c>
    </row>
    <row r="96" spans="49:69" ht="20.25" customHeight="1">
      <c r="AW96" s="31">
        <v>0.48520697914918753</v>
      </c>
      <c r="AX96" s="31">
        <v>5.5667789006666659</v>
      </c>
      <c r="AZ96" s="31">
        <v>0.6685066111958784</v>
      </c>
      <c r="BA96" s="31">
        <v>4.6579170393333333</v>
      </c>
      <c r="BF96" s="31">
        <v>0.6685066111958784</v>
      </c>
      <c r="BG96" s="31">
        <v>3772.9128018599999</v>
      </c>
      <c r="BI96" s="31">
        <v>66.850661119587841</v>
      </c>
      <c r="BJ96" s="31">
        <v>3772.9128018599999</v>
      </c>
      <c r="BN96" s="31">
        <v>0</v>
      </c>
      <c r="BQ96" s="31">
        <v>0</v>
      </c>
    </row>
    <row r="97" spans="49:69" ht="20.25" customHeight="1">
      <c r="AW97" s="31">
        <v>0.45437182609119131</v>
      </c>
      <c r="AX97" s="31">
        <v>5.6519847001666665</v>
      </c>
      <c r="AZ97" s="31">
        <v>0.66282574084402346</v>
      </c>
      <c r="BA97" s="31">
        <v>4.7147209056666668</v>
      </c>
      <c r="BF97" s="31">
        <v>0.66282574084402346</v>
      </c>
      <c r="BG97" s="31">
        <v>3818.9239335900006</v>
      </c>
      <c r="BI97" s="31">
        <v>66.282574084402341</v>
      </c>
      <c r="BJ97" s="31">
        <v>3818.9239335900006</v>
      </c>
      <c r="BN97" s="31">
        <v>0</v>
      </c>
      <c r="BQ97" s="31">
        <v>0</v>
      </c>
    </row>
    <row r="98" spans="49:69" ht="20.25" customHeight="1">
      <c r="AW98" s="31">
        <v>0.42040450749378988</v>
      </c>
      <c r="AX98" s="31">
        <v>5.7371904996666663</v>
      </c>
      <c r="AZ98" s="31">
        <v>0.65657785681375525</v>
      </c>
      <c r="BA98" s="31">
        <v>4.7715247720000002</v>
      </c>
      <c r="BF98" s="31">
        <v>0.65657785681375525</v>
      </c>
      <c r="BG98" s="31">
        <v>3864.9350653200004</v>
      </c>
      <c r="BI98" s="31">
        <v>65.657785681375529</v>
      </c>
      <c r="BJ98" s="31">
        <v>3864.9350653200004</v>
      </c>
      <c r="BN98" s="31">
        <v>0</v>
      </c>
      <c r="BQ98" s="31">
        <v>0</v>
      </c>
    </row>
    <row r="99" spans="49:69" ht="20.25" customHeight="1">
      <c r="AW99" s="31">
        <v>0.38309250275001827</v>
      </c>
      <c r="AX99" s="31">
        <v>5.822396299166666</v>
      </c>
      <c r="AZ99" s="31">
        <v>0.64972413709663468</v>
      </c>
      <c r="BA99" s="31">
        <v>4.8283286383333337</v>
      </c>
      <c r="BF99" s="31">
        <v>0.64972413709663468</v>
      </c>
      <c r="BG99" s="31">
        <v>3910.9461970500001</v>
      </c>
      <c r="BI99" s="31">
        <v>64.972413709663471</v>
      </c>
      <c r="BJ99" s="31">
        <v>3910.9461970500001</v>
      </c>
      <c r="BN99" s="31">
        <v>0</v>
      </c>
      <c r="BQ99" s="31">
        <v>0</v>
      </c>
    </row>
    <row r="100" spans="49:69" ht="20.25" customHeight="1">
      <c r="AW100" s="31">
        <v>0.34221599307424477</v>
      </c>
      <c r="AX100" s="31">
        <v>5.9076020986666666</v>
      </c>
      <c r="AZ100" s="31">
        <v>0.64222431806868596</v>
      </c>
      <c r="BA100" s="31">
        <v>4.8851325046666672</v>
      </c>
      <c r="BF100" s="31">
        <v>0.64222431806868596</v>
      </c>
      <c r="BG100" s="31">
        <v>3956.9573287800008</v>
      </c>
      <c r="BI100" s="31">
        <v>64.222431806868599</v>
      </c>
      <c r="BJ100" s="31">
        <v>3956.9573287800013</v>
      </c>
      <c r="BN100" s="31">
        <v>0</v>
      </c>
      <c r="BQ100" s="31">
        <v>0</v>
      </c>
    </row>
    <row r="101" spans="49:69" ht="20.25" customHeight="1">
      <c r="AW101" s="31">
        <v>0.29754786150216561</v>
      </c>
      <c r="AX101" s="31">
        <v>5.9928078981666664</v>
      </c>
      <c r="AZ101" s="31">
        <v>0.63403669449039524</v>
      </c>
      <c r="BA101" s="31">
        <v>4.9419363709999997</v>
      </c>
      <c r="BF101" s="31">
        <v>0.63403669449039524</v>
      </c>
      <c r="BG101" s="31">
        <v>4002.9684605099997</v>
      </c>
      <c r="BI101" s="31">
        <v>63.403669449039526</v>
      </c>
      <c r="BJ101" s="31">
        <v>4002.9684605099997</v>
      </c>
      <c r="BN101" s="31">
        <v>0</v>
      </c>
      <c r="BQ101" s="31">
        <v>0</v>
      </c>
    </row>
    <row r="102" spans="49:69" ht="20.25" customHeight="1">
      <c r="AW102" s="31">
        <v>0.24885369289081294</v>
      </c>
      <c r="AX102" s="31">
        <v>6.0780136976666661</v>
      </c>
      <c r="AZ102" s="31">
        <v>0.62511811950670038</v>
      </c>
      <c r="BA102" s="31">
        <v>4.9987402373333332</v>
      </c>
      <c r="BF102" s="31">
        <v>0.62511811950670038</v>
      </c>
      <c r="BG102" s="31">
        <v>4048.9795922400003</v>
      </c>
      <c r="BI102" s="31">
        <v>62.511811950670037</v>
      </c>
      <c r="BJ102" s="31">
        <v>4048.9795922400003</v>
      </c>
      <c r="BN102" s="31">
        <v>0</v>
      </c>
      <c r="BQ102" s="31">
        <v>0</v>
      </c>
    </row>
    <row r="103" spans="49:69" ht="20.25" customHeight="1">
      <c r="AW103" s="31">
        <v>0.19589177391853885</v>
      </c>
      <c r="AX103" s="31">
        <v>6.1632194971666658</v>
      </c>
      <c r="AZ103" s="31">
        <v>0.61542400464700564</v>
      </c>
      <c r="BA103" s="31">
        <v>5.0555441036666666</v>
      </c>
      <c r="BF103" s="31">
        <v>0.61542400464700564</v>
      </c>
      <c r="BG103" s="31">
        <v>4094.9907239700001</v>
      </c>
      <c r="BI103" s="31">
        <v>61.542400464700563</v>
      </c>
      <c r="BJ103" s="31">
        <v>4094.9907239700001</v>
      </c>
      <c r="BN103" s="31">
        <v>0</v>
      </c>
      <c r="BQ103" s="31">
        <v>0</v>
      </c>
    </row>
    <row r="104" spans="49:69" ht="20.25" customHeight="1">
      <c r="AW104" s="31">
        <v>0.13841309308502248</v>
      </c>
      <c r="AX104" s="31">
        <v>6.2484252966666665</v>
      </c>
      <c r="AZ104" s="31">
        <v>0.60490831982517723</v>
      </c>
      <c r="BA104" s="31">
        <v>5.1123479700000001</v>
      </c>
      <c r="BF104" s="31">
        <v>0.60490831982517723</v>
      </c>
      <c r="BG104" s="31">
        <v>4141.0018556999994</v>
      </c>
      <c r="BI104" s="31">
        <v>60.490831982517726</v>
      </c>
      <c r="BJ104" s="31">
        <v>4141.0018556999994</v>
      </c>
      <c r="BN104" s="31">
        <v>0</v>
      </c>
      <c r="BQ104" s="31">
        <v>0</v>
      </c>
    </row>
    <row r="105" spans="49:69" ht="20.25" customHeight="1">
      <c r="AW105" s="31">
        <v>7.6161340711288661E-2</v>
      </c>
      <c r="AX105" s="31">
        <v>6.3336310961666662</v>
      </c>
      <c r="AZ105" s="31">
        <v>0.59352359333953708</v>
      </c>
      <c r="BA105" s="31">
        <v>5.1691518363333335</v>
      </c>
      <c r="BF105" s="31">
        <v>0.59352359333953708</v>
      </c>
      <c r="BG105" s="31">
        <v>4187.0129874300001</v>
      </c>
      <c r="BI105" s="31">
        <v>59.352359333953707</v>
      </c>
      <c r="BJ105" s="31">
        <v>4187.0129874300001</v>
      </c>
      <c r="BN105" s="31">
        <v>0</v>
      </c>
      <c r="BQ105" s="31">
        <v>0</v>
      </c>
    </row>
    <row r="106" spans="49:69" ht="20.25" customHeight="1">
      <c r="AW106" s="31">
        <v>8.8729089396875072E-3</v>
      </c>
      <c r="AX106" s="31">
        <v>6.4188368956666659</v>
      </c>
      <c r="AZ106" s="31">
        <v>0.58122091187287173</v>
      </c>
      <c r="BA106" s="31">
        <v>5.225955702666667</v>
      </c>
      <c r="BF106" s="31">
        <v>0.58122091187287173</v>
      </c>
      <c r="BG106" s="31">
        <v>4233.0241191599998</v>
      </c>
      <c r="BI106" s="31">
        <v>58.122091187287175</v>
      </c>
      <c r="BJ106" s="31">
        <v>4233.0241191600007</v>
      </c>
      <c r="BN106" s="31">
        <v>0</v>
      </c>
      <c r="BQ106" s="31">
        <v>0</v>
      </c>
    </row>
    <row r="107" spans="49:69" ht="20.25" customHeight="1">
      <c r="AW107" s="31">
        <v>-6.3723108266124262E-2</v>
      </c>
      <c r="AX107" s="31">
        <v>6.5040426951666666</v>
      </c>
      <c r="AZ107" s="31">
        <v>0.56794992049242077</v>
      </c>
      <c r="BA107" s="31">
        <v>5.2827595690000004</v>
      </c>
      <c r="BF107" s="31">
        <v>0.56794992049242077</v>
      </c>
      <c r="BG107" s="31">
        <v>4279.0352508900005</v>
      </c>
      <c r="BI107" s="31">
        <v>56.794992049242076</v>
      </c>
      <c r="BJ107" s="31">
        <v>4279.0352508900005</v>
      </c>
      <c r="BN107" s="31">
        <v>0</v>
      </c>
      <c r="BQ107" s="31">
        <v>0</v>
      </c>
    </row>
    <row r="108" spans="49:69" ht="20.25" customHeight="1">
      <c r="AW108" s="31">
        <v>-0.14190491512112735</v>
      </c>
      <c r="AX108" s="31">
        <v>6.5892484946666663</v>
      </c>
      <c r="AZ108" s="31">
        <v>0.55365882264989374</v>
      </c>
      <c r="BA108" s="31">
        <v>5.3395634353333339</v>
      </c>
      <c r="BF108" s="31">
        <v>0.55365882264989374</v>
      </c>
      <c r="BG108" s="31">
        <v>4325.0463826200003</v>
      </c>
      <c r="BI108" s="31">
        <v>55.365882264989374</v>
      </c>
      <c r="BJ108" s="31">
        <v>4325.0463826200003</v>
      </c>
      <c r="BN108" s="31">
        <v>0</v>
      </c>
      <c r="BQ108" s="31">
        <v>0</v>
      </c>
    </row>
    <row r="109" spans="49:69" ht="20.25" customHeight="1">
      <c r="AW109" s="31">
        <v>-0.22595801401899585</v>
      </c>
      <c r="AX109" s="31">
        <v>6.6744542941666669</v>
      </c>
      <c r="AZ109" s="31">
        <v>0.53829438018145148</v>
      </c>
      <c r="BA109" s="31">
        <v>5.3963673016666664</v>
      </c>
      <c r="BF109" s="31">
        <v>0.53829438018145148</v>
      </c>
      <c r="BG109" s="31">
        <v>4371.0575143499991</v>
      </c>
      <c r="BI109" s="31">
        <v>53.829438018145147</v>
      </c>
      <c r="BJ109" s="31">
        <v>4371.0575143499991</v>
      </c>
      <c r="BN109" s="31">
        <v>0</v>
      </c>
      <c r="BQ109" s="31">
        <v>0</v>
      </c>
    </row>
    <row r="110" spans="49:69" ht="20.25" customHeight="1">
      <c r="AW110" s="31">
        <v>-0.31617520553206435</v>
      </c>
      <c r="AX110" s="31">
        <v>6.7596600936666658</v>
      </c>
      <c r="AZ110" s="31">
        <v>0.52180191330771941</v>
      </c>
      <c r="BA110" s="31">
        <v>5.4531711679999999</v>
      </c>
      <c r="BF110" s="31">
        <v>0.52180191330771941</v>
      </c>
      <c r="BG110" s="31">
        <v>4417.0686460799998</v>
      </c>
      <c r="BI110" s="31">
        <v>52.18019133077194</v>
      </c>
      <c r="BJ110" s="31">
        <v>4417.0686460799998</v>
      </c>
      <c r="BN110" s="31">
        <v>0</v>
      </c>
      <c r="BQ110" s="31">
        <v>0</v>
      </c>
    </row>
    <row r="111" spans="49:69" ht="20.25" customHeight="1">
      <c r="AW111" s="31">
        <v>-0.41285658841133865</v>
      </c>
      <c r="AX111" s="31">
        <v>6.8448658931666664</v>
      </c>
      <c r="AZ111" s="31">
        <v>0.5041253006337858</v>
      </c>
      <c r="BA111" s="31">
        <v>5.5099750343333334</v>
      </c>
      <c r="BF111" s="31">
        <v>0.5041253006337858</v>
      </c>
      <c r="BG111" s="31">
        <v>4463.0797778100005</v>
      </c>
      <c r="BI111" s="31">
        <v>50.412530063378583</v>
      </c>
      <c r="BJ111" s="31">
        <v>4463.0797778100014</v>
      </c>
      <c r="BN111" s="31">
        <v>0</v>
      </c>
      <c r="BQ111" s="31">
        <v>0</v>
      </c>
    </row>
    <row r="112" spans="49:69" ht="20.25" customHeight="1">
      <c r="AW112" s="31">
        <v>-0.51630955958649749</v>
      </c>
      <c r="AX112" s="31">
        <v>6.930071692666667</v>
      </c>
      <c r="AZ112" s="31">
        <v>0.48520697914918753</v>
      </c>
      <c r="BA112" s="31">
        <v>5.5667789006666668</v>
      </c>
      <c r="BF112" s="31">
        <v>0.48520697914918753</v>
      </c>
      <c r="BG112" s="31">
        <v>4509.0909095400002</v>
      </c>
      <c r="BI112" s="31">
        <v>48.520697914918756</v>
      </c>
      <c r="BJ112" s="31">
        <v>4509.0909095400002</v>
      </c>
      <c r="BN112" s="31">
        <v>0</v>
      </c>
      <c r="BQ112" s="31">
        <v>0</v>
      </c>
    </row>
    <row r="113" spans="49:69" ht="20.25" customHeight="1">
      <c r="AW113" s="31">
        <v>-0.62684881416588456</v>
      </c>
      <c r="AX113" s="31">
        <v>7.0152774921666659</v>
      </c>
      <c r="AZ113" s="31">
        <v>0.46498794422793499</v>
      </c>
      <c r="BA113" s="31">
        <v>5.6235827670000003</v>
      </c>
      <c r="BF113" s="31">
        <v>0.46498794422793499</v>
      </c>
      <c r="BG113" s="31">
        <v>4555.10204127</v>
      </c>
      <c r="BI113" s="31">
        <v>46.498794422793502</v>
      </c>
      <c r="BJ113" s="31">
        <v>4555.10204127</v>
      </c>
      <c r="BN113" s="31">
        <v>0</v>
      </c>
      <c r="BQ113" s="31">
        <v>0</v>
      </c>
    </row>
    <row r="114" spans="49:69" ht="20.25" customHeight="1">
      <c r="AW114" s="31">
        <v>-0.74479634543652984</v>
      </c>
      <c r="AX114" s="31">
        <v>7.1004832916666665</v>
      </c>
      <c r="AZ114" s="31">
        <v>0.44340774962849516</v>
      </c>
      <c r="BA114" s="31">
        <v>5.6803866333333337</v>
      </c>
      <c r="BF114" s="31">
        <v>0.44340774962849516</v>
      </c>
      <c r="BG114" s="31">
        <v>4601.1131730000006</v>
      </c>
      <c r="BI114" s="31">
        <v>44.340774962849515</v>
      </c>
      <c r="BJ114" s="31">
        <v>4601.1131730000006</v>
      </c>
      <c r="BN114" s="31">
        <v>0</v>
      </c>
      <c r="BQ114" s="31">
        <v>0</v>
      </c>
    </row>
  </sheetData>
  <sheetProtection algorithmName="SHA-512" hashValue="4a6444GLPlUa7PjYaHW7jwH0azL74wXsHg4rUpXxenqrrmjKzjGEQSYcqFBYErcGNDPcb6O+sPFJxaNN3vZU+Q==" saltValue="D2ivkiGNpBNMgmIESP0WwQ==" spinCount="100000" sheet="1" objects="1" scenarios="1"/>
  <phoneticPr fontId="2"/>
  <conditionalFormatting sqref="Z14:Z36">
    <cfRule type="dataBar" priority="2">
      <dataBar>
        <cfvo type="min"/>
        <cfvo type="max"/>
        <color rgb="FF638EC6"/>
      </dataBar>
      <extLst>
        <ext xmlns:x14="http://schemas.microsoft.com/office/spreadsheetml/2009/9/main" uri="{B025F937-C7B1-47D3-B67F-A62EFF666E3E}">
          <x14:id>{4956A8CF-05A9-4CD7-A177-EC3B209ED9C4}</x14:id>
        </ext>
      </extLst>
    </cfRule>
  </conditionalFormatting>
  <conditionalFormatting sqref="AA14:AA36">
    <cfRule type="dataBar" priority="1">
      <dataBar>
        <cfvo type="min"/>
        <cfvo type="max"/>
        <color rgb="FF63C384"/>
      </dataBar>
      <extLst>
        <ext xmlns:x14="http://schemas.microsoft.com/office/spreadsheetml/2009/9/main" uri="{B025F937-C7B1-47D3-B67F-A62EFF666E3E}">
          <x14:id>{B26A3470-D50D-4ACA-AD99-98F4AF08EBD6}</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4956A8CF-05A9-4CD7-A177-EC3B209ED9C4}">
            <x14:dataBar minLength="0" maxLength="100" border="1" negativeBarBorderColorSameAsPositive="0">
              <x14:cfvo type="autoMin"/>
              <x14:cfvo type="autoMax"/>
              <x14:borderColor rgb="FF638EC6"/>
              <x14:negativeFillColor rgb="FFFF0000"/>
              <x14:negativeBorderColor rgb="FFFF0000"/>
              <x14:axisColor rgb="FF000000"/>
            </x14:dataBar>
          </x14:cfRule>
          <xm:sqref>Z14:Z36</xm:sqref>
        </x14:conditionalFormatting>
        <x14:conditionalFormatting xmlns:xm="http://schemas.microsoft.com/office/excel/2006/main">
          <x14:cfRule type="dataBar" id="{B26A3470-D50D-4ACA-AD99-98F4AF08EBD6}">
            <x14:dataBar minLength="0" maxLength="100" border="1" negativeBarBorderColorSameAsPositive="0">
              <x14:cfvo type="autoMin"/>
              <x14:cfvo type="autoMax"/>
              <x14:borderColor rgb="FF63C384"/>
              <x14:negativeFillColor rgb="FFFF0000"/>
              <x14:negativeBorderColor rgb="FFFF0000"/>
              <x14:axisColor rgb="FF000000"/>
            </x14:dataBar>
          </x14:cfRule>
          <xm:sqref>AA14:AA36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28D12-AB30-43DD-A95B-D07EB0A70D3F}">
  <sheetPr codeName="Sheet9">
    <tabColor theme="0" tint="-0.499984740745262"/>
  </sheetPr>
  <dimension ref="A1:BU114"/>
  <sheetViews>
    <sheetView showGridLines="0" zoomScaleNormal="100" workbookViewId="0"/>
  </sheetViews>
  <sheetFormatPr defaultColWidth="3.375" defaultRowHeight="20.25" customHeight="1"/>
  <cols>
    <col min="1" max="3" width="3.375" style="31"/>
    <col min="4" max="4" width="19.25" style="31" customWidth="1"/>
    <col min="5" max="5" width="10.375" style="31" customWidth="1"/>
    <col min="6" max="9" width="3.375" style="31"/>
    <col min="10" max="10" width="13.75" style="31" bestFit="1" customWidth="1"/>
    <col min="11" max="11" width="12.75" style="31" bestFit="1" customWidth="1"/>
    <col min="12" max="15" width="3.375" style="31"/>
    <col min="16" max="16" width="10" style="31" customWidth="1"/>
    <col min="17" max="17" width="7.5" style="31" customWidth="1"/>
    <col min="18" max="19" width="3.375" style="31"/>
    <col min="20" max="25" width="7.5" style="31" customWidth="1"/>
    <col min="26" max="26" width="8.75" style="31" customWidth="1"/>
    <col min="27" max="27" width="10" style="31" customWidth="1"/>
    <col min="28" max="48" width="3.375" style="31"/>
    <col min="49" max="49" width="9.625" style="31" customWidth="1"/>
    <col min="50" max="50" width="7.5" style="31" customWidth="1"/>
    <col min="51" max="51" width="3.375" style="31"/>
    <col min="52" max="52" width="9.625" style="31" customWidth="1"/>
    <col min="53" max="53" width="7.5" style="31" customWidth="1"/>
    <col min="54" max="57" width="3.375" style="31"/>
    <col min="58" max="58" width="9.625" style="31" customWidth="1"/>
    <col min="59" max="59" width="7.5" style="31" customWidth="1"/>
    <col min="60" max="60" width="3.375" style="31"/>
    <col min="61" max="61" width="9.625" style="31" customWidth="1"/>
    <col min="62" max="62" width="7.5" style="31" customWidth="1"/>
    <col min="63" max="64" width="3.375" style="31"/>
    <col min="65" max="65" width="9.625" style="31" customWidth="1"/>
    <col min="66" max="66" width="7.5" style="31" customWidth="1"/>
    <col min="67" max="67" width="3.375" style="31"/>
    <col min="68" max="68" width="9.625" style="31" customWidth="1"/>
    <col min="69" max="69" width="7.5" style="31" customWidth="1"/>
    <col min="70" max="72" width="3.375" style="31"/>
    <col min="73" max="73" width="5.5" style="31" bestFit="1" customWidth="1"/>
    <col min="74" max="16384" width="3.375" style="31"/>
  </cols>
  <sheetData>
    <row r="1" spans="1:73" s="40" customFormat="1" ht="20.25" customHeight="1">
      <c r="A1" s="40" t="s">
        <v>509</v>
      </c>
    </row>
    <row r="2" spans="1:73" s="40" customFormat="1" ht="30">
      <c r="B2" s="41" t="s">
        <v>265</v>
      </c>
    </row>
    <row r="3" spans="1:73" s="39" customFormat="1" ht="7.5" customHeight="1"/>
    <row r="5" spans="1:73" ht="20.25" customHeight="1">
      <c r="B5" s="31" t="s">
        <v>102</v>
      </c>
      <c r="G5" s="31" t="s">
        <v>101</v>
      </c>
      <c r="M5" s="31" t="s">
        <v>100</v>
      </c>
      <c r="BC5" s="31" t="s">
        <v>533</v>
      </c>
    </row>
    <row r="6" spans="1:73" ht="20.25" customHeight="1">
      <c r="C6" s="31" t="s">
        <v>240</v>
      </c>
      <c r="H6" s="31" t="s">
        <v>98</v>
      </c>
      <c r="N6" s="31" t="s">
        <v>239</v>
      </c>
      <c r="BD6" s="31" t="s">
        <v>534</v>
      </c>
    </row>
    <row r="7" spans="1:73" ht="20.25" customHeight="1">
      <c r="D7" s="33" t="s">
        <v>264</v>
      </c>
      <c r="E7" s="31" cm="1">
        <f t="array" ref="E7:E11">TRANSPOSE(_xlfn.ANCHORARRAY(T10))</f>
        <v>4.9187071542673887E-7</v>
      </c>
      <c r="I7" s="31" t="s">
        <v>116</v>
      </c>
    </row>
    <row r="8" spans="1:73" ht="20.25" customHeight="1">
      <c r="D8" s="33" t="s">
        <v>263</v>
      </c>
      <c r="E8" s="31">
        <v>-5.7022544557890257E-6</v>
      </c>
      <c r="P8" s="37" t="s">
        <v>202</v>
      </c>
      <c r="Q8" s="37" t="s">
        <v>201</v>
      </c>
      <c r="AZ8" s="31" t="s">
        <v>526</v>
      </c>
    </row>
    <row r="9" spans="1:73" ht="20.25" customHeight="1">
      <c r="D9" s="33" t="s">
        <v>262</v>
      </c>
      <c r="E9" s="31">
        <v>1.2119606245939001E-5</v>
      </c>
      <c r="I9" s="38"/>
      <c r="J9" s="37" t="s">
        <v>109</v>
      </c>
      <c r="K9" s="37" t="s">
        <v>106</v>
      </c>
      <c r="P9" s="47" t="s">
        <v>254</v>
      </c>
      <c r="Q9" s="47" t="s">
        <v>193</v>
      </c>
      <c r="T9" s="36" t="s">
        <v>261</v>
      </c>
      <c r="U9" s="36" t="s">
        <v>260</v>
      </c>
      <c r="V9" s="36" t="s">
        <v>259</v>
      </c>
      <c r="W9" s="36" t="s">
        <v>258</v>
      </c>
      <c r="X9" s="36" t="s">
        <v>257</v>
      </c>
      <c r="Z9" s="37"/>
      <c r="AX9" s="48" t="s">
        <v>210</v>
      </c>
      <c r="AZ9" s="33" t="s">
        <v>527</v>
      </c>
      <c r="BA9" s="31">
        <f>MIN(_xlfn.ANCHORARRAY(Q11))</f>
        <v>1.832382785185185E-2</v>
      </c>
    </row>
    <row r="10" spans="1:73" ht="20.25" customHeight="1">
      <c r="D10" s="33" t="s">
        <v>256</v>
      </c>
      <c r="E10" s="31">
        <v>7.1248610519614606E-5</v>
      </c>
      <c r="I10" s="37"/>
      <c r="J10" s="36" t="s">
        <v>50</v>
      </c>
      <c r="K10" s="36" t="s">
        <v>50</v>
      </c>
      <c r="P10" s="35" t="s">
        <v>84</v>
      </c>
      <c r="Q10" s="35" t="s">
        <v>84</v>
      </c>
      <c r="T10" s="31" cm="1">
        <f t="array" ref="T10:X10">LINEST(_xlfn.ANCHORARRAY(T14),_xlfn.ANCHORARRAY(U14),TRUE)</f>
        <v>4.9187071542673887E-7</v>
      </c>
      <c r="U10" s="31">
        <v>-5.7022544557890257E-6</v>
      </c>
      <c r="V10" s="31">
        <v>1.2119606245939001E-5</v>
      </c>
      <c r="W10" s="31">
        <v>7.1248610519614606E-5</v>
      </c>
      <c r="X10" s="31">
        <v>8.3707282174792975E-5</v>
      </c>
      <c r="AX10" s="32">
        <v>0.5</v>
      </c>
      <c r="AZ10" s="33" t="s">
        <v>528</v>
      </c>
      <c r="BA10" s="31">
        <f>MAX(_xlfn.ANCHORARRAY(Q11))</f>
        <v>5.6987104604938272</v>
      </c>
      <c r="BE10" s="31" t="s">
        <v>535</v>
      </c>
      <c r="BL10" s="31" t="s">
        <v>536</v>
      </c>
      <c r="BS10" s="31" t="s">
        <v>630</v>
      </c>
    </row>
    <row r="11" spans="1:73" ht="20.25" customHeight="1">
      <c r="D11" s="33" t="s">
        <v>255</v>
      </c>
      <c r="E11" s="31">
        <v>8.3707282174792975E-5</v>
      </c>
      <c r="J11" s="32" cm="1">
        <f t="array" ref="J11:J42">_xlfn.ANCHORARRAY(B!M11)</f>
        <v>1.832382785185185E-2</v>
      </c>
      <c r="K11" s="32" cm="1">
        <f t="array" ref="K11:K42">_xlfn.ANCHORARRAY(B!N11)</f>
        <v>8.6487099603718936E-5</v>
      </c>
      <c r="P11" s="31" cm="1">
        <f t="array" ref="P11:P42">_xlfn.LET(
    _xlpm._C_W_input, K11:K1011,
    _xlpm._numbers_row, _xlfn.LET(
        _xlpm._tmp, _xlfn._xlws.SORT(
            _xlfn.UNIQUE(
                _xlfn.SEQUENCE(ROWS(_xlpm._C_W_input)) *
                    (LEN(TRIM(_xlpm._C_W_input)) &gt; 0)
            )
        ),
        IF(
            ROWS(_xlpm._tmp) = 1,
            IF(_xlpm._tmp = 0, NA(), _xlpm._tmp),
            _xlfn.UNIQUE(IF(_xlpm._tmp = 0, INDEX(_xlpm._tmp, 2), _xlpm._tmp))
        )
    ),
    IF(
        ISNA(_xlpm._numbers_row),
        {""},
        _xlfn.CHOOSEROWS(_xlpm._C_W_input, _xlpm._numbers_row)
    )
)</f>
        <v>8.6487099603718936E-5</v>
      </c>
      <c r="Q11" s="31" cm="1">
        <f t="array" ref="Q11:Q42">_xlfn.LET(
    _xlpm._C_f_input, J11:J1011,
    _xlpm._numbers_row, _xlfn.LET(
        _xlpm._tmp, _xlfn._xlws.SORT(
            _xlfn.UNIQUE(
                _xlfn.SEQUENCE(ROWS(_xlpm._C_f_input)) *
                    (LEN(TRIM(_xlpm._C_f_input)) &gt; 0)
            )
        ),
        IF(
            ROWS(_xlpm._tmp) = 1,
            IF(_xlpm._tmp = 0, NA(), _xlpm._tmp),
            _xlfn.UNIQUE(IF(_xlpm._tmp = 0, INDEX(_xlpm._tmp, 2), _xlpm._tmp))
        )
    ),
    IF(
        ISNA(_xlpm._numbers_row),
        {""},
        _xlfn.CHOOSEROWS(_xlpm._C_f_input, _xlpm._numbers_row)
    )
)</f>
        <v>1.832382785185185E-2</v>
      </c>
      <c r="AW11" s="37" t="s">
        <v>202</v>
      </c>
      <c r="AX11" s="37" t="s">
        <v>201</v>
      </c>
      <c r="AZ11" s="37" t="s">
        <v>202</v>
      </c>
      <c r="BA11" s="37" t="s">
        <v>201</v>
      </c>
      <c r="BF11" s="37" t="s">
        <v>202</v>
      </c>
      <c r="BG11" s="37" t="s">
        <v>201</v>
      </c>
      <c r="BI11" s="37" t="s">
        <v>202</v>
      </c>
      <c r="BJ11" s="37" t="s">
        <v>201</v>
      </c>
      <c r="BM11" s="37" t="s">
        <v>202</v>
      </c>
      <c r="BN11" s="37" t="s">
        <v>201</v>
      </c>
      <c r="BP11" s="37" t="s">
        <v>202</v>
      </c>
      <c r="BQ11" s="37" t="s">
        <v>201</v>
      </c>
      <c r="BT11" s="37" t="s">
        <v>202</v>
      </c>
      <c r="BU11" s="37" t="s">
        <v>201</v>
      </c>
    </row>
    <row r="12" spans="1:73" ht="20.25" customHeight="1">
      <c r="J12" s="31">
        <v>0.15575253666666669</v>
      </c>
      <c r="K12" s="31">
        <v>9.4994027434842259E-5</v>
      </c>
      <c r="P12" s="31">
        <v>9.4994027434842259E-5</v>
      </c>
      <c r="Q12" s="31">
        <v>0.15575253666666669</v>
      </c>
      <c r="T12" s="44" t="s">
        <v>196</v>
      </c>
      <c r="Y12" s="44" t="s">
        <v>195</v>
      </c>
      <c r="AW12" s="47" t="s">
        <v>254</v>
      </c>
      <c r="AX12" s="47" t="s">
        <v>193</v>
      </c>
      <c r="AZ12" s="47" t="s">
        <v>254</v>
      </c>
      <c r="BA12" s="47" t="s">
        <v>193</v>
      </c>
      <c r="BF12" s="47" t="s">
        <v>333</v>
      </c>
      <c r="BG12" s="47" t="s">
        <v>110</v>
      </c>
      <c r="BI12" s="47" t="s">
        <v>333</v>
      </c>
      <c r="BJ12" s="47" t="s">
        <v>110</v>
      </c>
      <c r="BM12" s="47" t="s">
        <v>333</v>
      </c>
      <c r="BN12" s="47" t="s">
        <v>110</v>
      </c>
      <c r="BP12" s="47" t="s">
        <v>333</v>
      </c>
      <c r="BQ12" s="47" t="s">
        <v>110</v>
      </c>
      <c r="BT12" s="47" t="s">
        <v>332</v>
      </c>
      <c r="BU12" s="47" t="s">
        <v>110</v>
      </c>
    </row>
    <row r="13" spans="1:73" ht="20.25" customHeight="1">
      <c r="C13" s="31" t="s">
        <v>525</v>
      </c>
      <c r="J13" s="31">
        <v>0.32982890123456787</v>
      </c>
      <c r="K13" s="31">
        <v>1.0917224048163389E-4</v>
      </c>
      <c r="P13" s="31">
        <v>1.0917224048163389E-4</v>
      </c>
      <c r="Q13" s="31">
        <v>0.32982890123456787</v>
      </c>
      <c r="T13" s="46" t="s">
        <v>186</v>
      </c>
      <c r="U13" s="46" t="s">
        <v>185</v>
      </c>
      <c r="V13" s="35" t="s">
        <v>184</v>
      </c>
      <c r="W13" s="35" t="s">
        <v>183</v>
      </c>
      <c r="X13" s="35" t="s">
        <v>182</v>
      </c>
      <c r="Y13" s="46" t="s">
        <v>181</v>
      </c>
      <c r="Z13" s="35" t="s">
        <v>180</v>
      </c>
      <c r="AA13" s="35" t="s">
        <v>179</v>
      </c>
      <c r="AW13" s="35" t="s">
        <v>84</v>
      </c>
      <c r="AX13" s="35" t="s">
        <v>84</v>
      </c>
      <c r="AZ13" s="35" t="s">
        <v>84</v>
      </c>
      <c r="BA13" s="35" t="s">
        <v>84</v>
      </c>
      <c r="BF13" s="35" t="s">
        <v>83</v>
      </c>
      <c r="BG13" s="35" t="s">
        <v>92</v>
      </c>
      <c r="BI13" s="35" t="str" cm="1">
        <f t="array" ref="BI13">INDEX(入力1!$R$16:$R$20,入力1!$R$15)</f>
        <v>kW</v>
      </c>
      <c r="BJ13" s="35" t="str" cm="1">
        <f t="array" ref="BJ13">INDEX(入力1!$O$16:$O$20,入力1!$O$15)</f>
        <v>L/s</v>
      </c>
      <c r="BM13" s="35" t="s">
        <v>83</v>
      </c>
      <c r="BN13" s="35" t="s">
        <v>92</v>
      </c>
      <c r="BP13" s="35" t="str" cm="1">
        <f t="array" ref="BP13">INDEX(入力1!$R$16:$R$20,入力1!$R$15)</f>
        <v>kW</v>
      </c>
      <c r="BQ13" s="35" t="str" cm="1">
        <f t="array" ref="BQ13">INDEX(入力1!$O$16:$O$20,入力1!$O$15)</f>
        <v>L/s</v>
      </c>
      <c r="BT13" s="35" t="str" cm="1">
        <f t="array" ref="BT13">INDEX(入力1!$P$16:$P$20,入力1!$P$15)</f>
        <v>m</v>
      </c>
      <c r="BU13" s="35" t="str" cm="1">
        <f t="array" ref="BU13">INDEX(入力1!$O$16:$O$20,入力1!$O$15)</f>
        <v>L/s</v>
      </c>
    </row>
    <row r="14" spans="1:73" ht="20.25" customHeight="1">
      <c r="D14" s="33" t="s">
        <v>339</v>
      </c>
      <c r="E14" s="31">
        <f>BA9</f>
        <v>1.832382785185185E-2</v>
      </c>
      <c r="F14" s="31" t="s">
        <v>84</v>
      </c>
      <c r="J14" s="31">
        <v>0.47641952407407406</v>
      </c>
      <c r="K14" s="31">
        <v>1.1626134700502971E-4</v>
      </c>
      <c r="P14" s="31">
        <v>1.1626134700502971E-4</v>
      </c>
      <c r="Q14" s="31">
        <v>0.47641952407407406</v>
      </c>
      <c r="T14" s="31" cm="1">
        <f t="array" ref="T14:T45">_xlfn.ANCHORARRAY(P11)</f>
        <v>8.6487099603718936E-5</v>
      </c>
      <c r="U14" s="44" cm="1">
        <f t="array" ref="U14:X45">_xlfn.ANCHORARRAY(Q11)^{1,2,3,4}</f>
        <v>1.832382785185185E-2</v>
      </c>
      <c r="V14" s="31">
        <v>3.3576266714430158E-4</v>
      </c>
      <c r="W14" s="31">
        <v>6.1524573118308155E-6</v>
      </c>
      <c r="X14" s="31">
        <v>1.1273656864785506E-7</v>
      </c>
      <c r="Y14" s="44" cm="1">
        <f t="array" ref="Y14:Y45">_xlfn.LET(
    _xlpm._coefficient,_xlfn.ANCHORARRAY( T10),
    _xlpm._values_x,_xlfn.ANCHORARRAY( Q11),
    _xlfn.MAP(
        _xlpm._values_x,
        _xlfn.LAMBDA(_xlpm._x,
            SUM(
                _xlpm._coefficient *
                    _xlfn.HSTACK(_xlpm._x ^ {4,3,2,1}, 1)
            )
        )
    )
)</f>
        <v>8.5016863732530608E-5</v>
      </c>
      <c r="Z14" s="31" cm="1">
        <f t="array" ref="Z14:Z45">_xlfn.ANCHORARRAY(Y14)-_xlfn.ANCHORARRAY(T14)</f>
        <v>-1.4702358711883286E-6</v>
      </c>
      <c r="AA14" s="43" cm="1">
        <f t="array" ref="AA14:AA45">_xlfn.ANCHORARRAY(Z14) /_xlfn.ANCHORARRAY( T14)</f>
        <v>-1.6999481748433017E-2</v>
      </c>
      <c r="AW14" s="31" cm="1">
        <f t="array" ref="AW14:AW114">_xlfn.LET(
    _xlpm._coefficient,_xlfn.ANCHORARRAY( T10),
    _xlpm._values_x,_xlfn.ANCHORARRAY( AX14),
    _xlfn.MAP(
        _xlpm._values_x,
        _xlfn.LAMBDA(_xlpm._x,
            SUM(
                _xlpm._coefficient *
                    _xlfn.HSTACK(_xlpm._x ^ {4,3,2,1}, 1)
            )
        )
    )
)</f>
        <v>2.5253205954577622E-5</v>
      </c>
      <c r="AX14" s="31" cm="1">
        <f t="array" ref="AX14:AX114">_xlfn.LET(
    _xlpm._number_divisions, 100,
    _xlpm._rate_extrapolation, AX10,
    _xlpm._array_x,_xlfn.ANCHORARRAY( Q11),
    _xlpm._x0, _xlfn.TAKE(_xlpm._array_x, 1),
    _xlpm._x1, _xlfn.TAKE(_xlpm._array_x, -1),
    _xlpm._extrapolation, (_xlpm._x1 - _xlpm._x0) * _xlpm._rate_extrapolation,
    ((_xlpm._x1 - _xlpm._x0) + _xlpm._extrapolation) / _xlpm._number_divisions *
        (_xlfn.SEQUENCE(_xlpm._number_divisions + 1) - 1) + _xlpm._x0 -
        _xlpm._extrapolation / 2
)</f>
        <v>-1.4017728303086421</v>
      </c>
      <c r="AZ14" s="31" cm="1">
        <f t="array" ref="AZ14:AZ114">_xlfn.LET(_xlpm._coefficient,_xlfn.ANCHORARRAY( T10), _xlpm._values_x,_xlfn.ANCHORARRAY( BA14), _xlfn.MAP(_xlpm._values_x, _xlfn.LAMBDA(_xlpm._x, SUM(_xlpm._coefficient * _xlfn.HSTACK(_xlpm._x ^ {4,3,2,1}, 1)))))</f>
        <v>8.5016863732530608E-5</v>
      </c>
      <c r="BA14" s="31" cm="1">
        <f t="array" ref="BA14:BA114">_xlfn.LET(
    _xlpm._number_of_divsions, 100,
    _xlpm._C_f_min, BA9,
    _xlpm._C_f_max, BA10,
    (_xlpm._C_f_max - _xlpm._C_f_min) / _xlpm._number_of_divsions *
        (_xlfn.SEQUENCE(_xlpm._number_of_divsions + 1) - 1) + _xlpm._C_f_min
)</f>
        <v>1.832382785185185E-2</v>
      </c>
      <c r="BF14" s="31" cm="1">
        <f t="array" ref="BF14:BF114">_xlfn.LET(
    _xlpm._rho, B!$T$7,
    _xlpm._D, B!$T$9,
    _xlpm._N_r, B!$T$10,
    _xlpm._C_W,_xlfn.ANCHORARRAY( AZ14),
    _xlpm._C_W * _xlpm._rho ^ 1 * _xlpm._N_r ^ 3 * _xlpm._D ^ 5
)</f>
        <v>5.5779564294913335</v>
      </c>
      <c r="BG14" s="31" cm="1">
        <f t="array" ref="BG14:BG114">_xlfn.LET(
    _xlpm._rho, B!$T$7,
    _xlpm._D, B!$T$9,
    _xlpm._N_r, B!$T$10,
    _xlpm._C_f,_xlfn.ANCHORARRAY( BA14),
    _xlpm._C_f * _xlpm._rho ^ 1 * _xlpm._N_r ^ 1 * _xlpm._D ^ 3
)</f>
        <v>14.842300559999998</v>
      </c>
      <c r="BI14" s="31" cm="1">
        <f t="array" ref="BI14:BI114">_xlfn.LET(
    _xlpm._number_unit, 入力1!R15,
    _xlpm._add_prefix_kilo, 10 ^ -3,
    _xlpm._W,_xlfn.ANCHORARRAY( BF14),
    _xlpm._W_sample, IF(
        _xlpm._number_unit = 1,
        _xlpm._W,
        IF(_xlpm._number_unit = 2, _xlpm._W * _xlpm._add_prefix_kilo ^ -1, NA())
    ),
    _xlpm._W_sample
)</f>
        <v>5.5779564294913335</v>
      </c>
      <c r="BJ14" s="31" cm="1">
        <f t="array" ref="BJ14:BJ114">_xlfn.LET(
    _xlpm._number_unit, 入力1!O15,
    _xlpm._density_water__kg_per_cubic_m, 10 ^ 3,
    _xlpm._convert_units_from__per_h__to__per_s, 60 ^ -2,
    _xlpm._convert_units_from__per_min__to__per_s, 60 ^ -1,
    _xlpm._convert_units_from__litre__to__cubic_m, 10 ^ -3,
    _xlpm._m,_xlfn.ANCHORARRAY( BG14),
    _xlpm._m_sample, _xlfn.SWITCH(
        _xlpm._number_unit,
        1, _xlpm._m * _xlpm._density_water__kg_per_cubic_m ^ -1 *
            _xlpm._convert_units_from__per_h__to__per_s ^ -1,
        2, _xlpm._m * _xlpm._density_water__kg_per_cubic_m ^ -1 *
            _xlpm._convert_units_from__per_min__to__per_s ^
                -1,
        3, _xlpm._m *
            _xlpm._convert_units_from__litre__to__cubic_m ^
                -1 *
            _xlpm._density_water__kg_per_cubic_m ^ -1 *
            _xlpm._convert_units_from__per_h__to__per_s ^ -1,
        4, _xlpm._m *
            _xlpm._convert_units_from__litre__to__cubic_m ^
                -1 *
            _xlpm._density_water__kg_per_cubic_m ^ -1 *
            _xlpm._convert_units_from__per_min__to__per_s ^
                -1,
        5, _xlpm._m *
            _xlpm._convert_units_from__litre__to__cubic_m ^
                -1 *
            _xlpm._density_water__kg_per_cubic_m ^ -1,
        NA()
    ),
    _xlpm._m_sample
)</f>
        <v>14.842300559999998</v>
      </c>
      <c r="BM14" s="31" cm="1">
        <f t="array" ref="BM14:BM45">_xlfn.LET(
    _xlpm._rho, B!$T$7,
    _xlpm._D, B!$T$9,
    _xlpm._N_r, B!$T$10,
    _xlpm._C_W,_xlfn.ANCHORARRAY( P11),
    _xlpm._C_W * _xlpm._rho ^ 1 * _xlpm._N_r ^ 3 * _xlpm._D ^ 5
)</f>
        <v>5.6744186049999996</v>
      </c>
      <c r="BN14" s="31" cm="1">
        <f t="array" ref="BN14:BN114">_xlfn.LET(
    _xlpm._rho, B!$T$7,
    _xlpm._D, B!$T$9,
    _xlpm._N_r, B!$T$10,
    _xlpm._C_f, Q11:Q111,
    _xlpm._C_f * _xlpm._rho ^ 1 * _xlpm._N_r ^ 1 * _xlpm._D ^ 3
)</f>
        <v>14.842300559999998</v>
      </c>
      <c r="BP14" s="31" cm="1">
        <f t="array" ref="BP14:BP45">_xlfn.LET(
    _xlpm._number_unit, 入力1!R15,
    _xlpm._add_prefix_kilo, 10 ^ -3,
    _xlpm._W,_xlfn.ANCHORARRAY( BM14),
    _xlpm._W_sample, IF(
        _xlpm._number_unit = 1,
        _xlpm._W,
        IF(_xlpm._number_unit = 2, _xlpm._W * _xlpm._add_prefix_kilo ^ -1, NA())
    ),
    _xlpm._W_sample
)</f>
        <v>5.6744186049999996</v>
      </c>
      <c r="BQ14" s="31" cm="1">
        <f t="array" ref="BQ14:BQ114">_xlfn.LET(
    _xlpm._number_unit, 入力1!O15,
    _xlpm._density_water__kg_per_cubic_m, 10 ^ 3,
    _xlpm._convert_units_from__per_h__to__per_s, 60 ^ -2,
    _xlpm._convert_units_from__per_min__to__per_s, 60 ^ -1,
    _xlpm._convert_units_from__litre__to__cubic_m, 10 ^ -3,
    _xlpm._m,_xlfn.ANCHORARRAY( BN14),
    _xlpm._m_sample, _xlfn.SWITCH(
        _xlpm._number_unit,
        1, _xlpm._m * _xlpm._density_water__kg_per_cubic_m ^ -1 *
            _xlpm._convert_units_from__per_h__to__per_s ^ -1,
        2, _xlpm._m * _xlpm._density_water__kg_per_cubic_m ^ -1 *
            _xlpm._convert_units_from__per_min__to__per_s ^
                -1,
        3, _xlpm._m *
            _xlpm._convert_units_from__litre__to__cubic_m ^
                -1 *
            _xlpm._density_water__kg_per_cubic_m ^ -1 *
            _xlpm._convert_units_from__per_h__to__per_s ^ -1,
        4, _xlpm._m *
            _xlpm._convert_units_from__litre__to__cubic_m ^
                -1 *
            _xlpm._density_water__kg_per_cubic_m ^ -1 *
            _xlpm._convert_units_from__per_min__to__per_s ^
                -1,
        5, _xlpm._m *
            _xlpm._convert_units_from__litre__to__cubic_m ^
                -1 *
            _xlpm._density_water__kg_per_cubic_m ^ -1,
        NA()
    ),
    _xlpm._m_sample
)</f>
        <v>14.842300559999998</v>
      </c>
      <c r="BT14" s="31">
        <v>0</v>
      </c>
      <c r="BU14" s="31">
        <f>入力2!I7</f>
        <v>2550</v>
      </c>
    </row>
    <row r="15" spans="1:73" ht="20.25" customHeight="1">
      <c r="D15" s="33" t="s">
        <v>340</v>
      </c>
      <c r="E15" s="31">
        <f>BA10</f>
        <v>5.6987104604938272</v>
      </c>
      <c r="F15" s="31" t="s">
        <v>84</v>
      </c>
      <c r="J15" s="31">
        <v>0.65049588864197538</v>
      </c>
      <c r="K15" s="31">
        <v>1.3327520266727635E-4</v>
      </c>
      <c r="P15" s="31">
        <v>1.3327520266727635E-4</v>
      </c>
      <c r="Q15" s="31">
        <v>0.65049588864197538</v>
      </c>
      <c r="T15" s="31">
        <v>9.4994027434842259E-5</v>
      </c>
      <c r="U15" s="44">
        <v>0.15575253666666669</v>
      </c>
      <c r="V15" s="31">
        <v>2.4258852678101354E-2</v>
      </c>
      <c r="W15" s="31">
        <v>3.7783778412372464E-3</v>
      </c>
      <c r="X15" s="31">
        <v>5.884919332578252E-4</v>
      </c>
      <c r="Y15" s="44">
        <v>9.5077185929702513E-5</v>
      </c>
      <c r="Z15" s="31">
        <v>8.315849486025418E-8</v>
      </c>
      <c r="AA15" s="43">
        <v>8.7540761357121914E-4</v>
      </c>
      <c r="AW15" s="31">
        <v>2.5401982147762176E-5</v>
      </c>
      <c r="AX15" s="31">
        <v>-1.3165670308190125</v>
      </c>
      <c r="AZ15" s="31">
        <v>8.9126028842150212E-5</v>
      </c>
      <c r="BA15" s="31">
        <v>7.5127694178271601E-2</v>
      </c>
      <c r="BF15" s="31">
        <v>5.8475587523334749</v>
      </c>
      <c r="BG15" s="31">
        <v>60.853432284399986</v>
      </c>
      <c r="BI15" s="31">
        <v>5.8475587523334749</v>
      </c>
      <c r="BJ15" s="31">
        <v>60.853432284399986</v>
      </c>
      <c r="BM15" s="31">
        <v>6.2325581400000001</v>
      </c>
      <c r="BN15" s="31">
        <v>126.1595547</v>
      </c>
      <c r="BP15" s="31">
        <v>6.2325581400000001</v>
      </c>
      <c r="BQ15" s="31">
        <v>126.15955470000002</v>
      </c>
      <c r="BT15" s="31">
        <v>1</v>
      </c>
      <c r="BU15" s="31">
        <f>BU14</f>
        <v>2550</v>
      </c>
    </row>
    <row r="16" spans="1:73" ht="20.25" customHeight="1">
      <c r="J16" s="31">
        <v>0.83373416703703696</v>
      </c>
      <c r="K16" s="31">
        <v>1.4887123700655389E-4</v>
      </c>
      <c r="P16" s="31">
        <v>1.4887123700655389E-4</v>
      </c>
      <c r="Q16" s="31">
        <v>0.83373416703703696</v>
      </c>
      <c r="T16" s="31">
        <v>1.0917224048163389E-4</v>
      </c>
      <c r="U16" s="44">
        <v>0.32982890123456787</v>
      </c>
      <c r="V16" s="31">
        <v>0.10878710408960234</v>
      </c>
      <c r="W16" s="31">
        <v>3.5881131010364102E-2</v>
      </c>
      <c r="X16" s="31">
        <v>1.1834634016201974E-2</v>
      </c>
      <c r="Y16" s="44">
        <v>1.0832680773388686E-4</v>
      </c>
      <c r="Z16" s="31">
        <v>-8.4543274774702957E-7</v>
      </c>
      <c r="AA16" s="43">
        <v>-7.7440267234348574E-3</v>
      </c>
      <c r="AW16" s="31">
        <v>2.612808854927605E-5</v>
      </c>
      <c r="AX16" s="31">
        <v>-1.2313612313293829</v>
      </c>
      <c r="AZ16" s="31">
        <v>9.3305230049766334E-5</v>
      </c>
      <c r="BA16" s="31">
        <v>0.13193156050469135</v>
      </c>
      <c r="BF16" s="31">
        <v>6.1217561435651682</v>
      </c>
      <c r="BG16" s="31">
        <v>106.86456400879997</v>
      </c>
      <c r="BI16" s="31">
        <v>6.1217561435651682</v>
      </c>
      <c r="BJ16" s="31">
        <v>106.86456400879997</v>
      </c>
      <c r="BM16" s="31">
        <v>7.1627906979999993</v>
      </c>
      <c r="BN16" s="31">
        <v>267.16140999999999</v>
      </c>
      <c r="BP16" s="31">
        <v>7.1627906979999993</v>
      </c>
      <c r="BQ16" s="31">
        <v>267.16140999999999</v>
      </c>
    </row>
    <row r="17" spans="10:69" ht="20.25" customHeight="1">
      <c r="J17" s="31">
        <v>1.0078105316049382</v>
      </c>
      <c r="K17" s="31">
        <v>1.630494500838287E-4</v>
      </c>
      <c r="P17" s="31">
        <v>1.630494500838287E-4</v>
      </c>
      <c r="Q17" s="31">
        <v>1.0078105316049382</v>
      </c>
      <c r="T17" s="31">
        <v>1.1626134700502971E-4</v>
      </c>
      <c r="U17" s="44">
        <v>0.47641952407407406</v>
      </c>
      <c r="V17" s="31">
        <v>0.22697556291896723</v>
      </c>
      <c r="W17" s="31">
        <v>0.10813558966229941</v>
      </c>
      <c r="X17" s="31">
        <v>5.1517906162382048E-2</v>
      </c>
      <c r="Y17" s="44">
        <v>1.1981108924089523E-4</v>
      </c>
      <c r="Z17" s="31">
        <v>3.5497422358655187E-6</v>
      </c>
      <c r="AA17" s="43">
        <v>3.0532436852911651E-2</v>
      </c>
      <c r="AW17" s="31">
        <v>2.7401057708206551E-5</v>
      </c>
      <c r="AX17" s="31">
        <v>-1.1461554318397531</v>
      </c>
      <c r="AZ17" s="31">
        <v>9.7548420437893276E-5</v>
      </c>
      <c r="BA17" s="31">
        <v>0.18873542683111111</v>
      </c>
      <c r="BF17" s="31">
        <v>6.4001518649301774</v>
      </c>
      <c r="BG17" s="31">
        <v>152.87569573320002</v>
      </c>
      <c r="BI17" s="31">
        <v>6.4001518649301774</v>
      </c>
      <c r="BJ17" s="31">
        <v>152.87569573320005</v>
      </c>
      <c r="BM17" s="31">
        <v>7.6279069769999994</v>
      </c>
      <c r="BN17" s="31">
        <v>385.89981449999999</v>
      </c>
      <c r="BP17" s="31">
        <v>7.6279069769999994</v>
      </c>
      <c r="BQ17" s="31">
        <v>385.89981449999999</v>
      </c>
    </row>
    <row r="18" spans="10:69" ht="20.25" customHeight="1">
      <c r="J18" s="31">
        <v>1.2093726379012346</v>
      </c>
      <c r="K18" s="31">
        <v>1.7722766316110352E-4</v>
      </c>
      <c r="P18" s="31">
        <v>1.7722766316110352E-4</v>
      </c>
      <c r="Q18" s="31">
        <v>1.2093726379012346</v>
      </c>
      <c r="T18" s="31">
        <v>1.3327520266727635E-4</v>
      </c>
      <c r="U18" s="44">
        <v>0.65049588864197538</v>
      </c>
      <c r="V18" s="31">
        <v>0.42314490114011322</v>
      </c>
      <c r="W18" s="31">
        <v>0.27525401849145875</v>
      </c>
      <c r="X18" s="31">
        <v>0.17905160736087619</v>
      </c>
      <c r="Y18" s="44">
        <v>1.3370106176484477E-4</v>
      </c>
      <c r="Z18" s="31">
        <v>4.2585909756841732E-7</v>
      </c>
      <c r="AA18" s="43">
        <v>3.195336334483627E-3</v>
      </c>
      <c r="AW18" s="31">
        <v>2.9191044386284252E-5</v>
      </c>
      <c r="AX18" s="31">
        <v>-1.0609496323501235</v>
      </c>
      <c r="AZ18" s="31">
        <v>1.0184967599524651E-4</v>
      </c>
      <c r="BA18" s="31">
        <v>0.24553929315753087</v>
      </c>
      <c r="BF18" s="31">
        <v>6.6823572420481234</v>
      </c>
      <c r="BG18" s="31">
        <v>198.88682745760002</v>
      </c>
      <c r="BI18" s="31">
        <v>6.6823572420481234</v>
      </c>
      <c r="BJ18" s="31">
        <v>198.88682745760002</v>
      </c>
      <c r="BM18" s="31">
        <v>8.7441860470000012</v>
      </c>
      <c r="BN18" s="31">
        <v>526.90166980000004</v>
      </c>
      <c r="BP18" s="31">
        <v>8.7441860470000012</v>
      </c>
      <c r="BQ18" s="31">
        <v>526.90166980000004</v>
      </c>
    </row>
    <row r="19" spans="10:69" ht="20.25" customHeight="1">
      <c r="J19" s="31">
        <v>1.3651251740740742</v>
      </c>
      <c r="K19" s="31">
        <v>1.9282369745465632E-4</v>
      </c>
      <c r="P19" s="31">
        <v>1.9282369745465632E-4</v>
      </c>
      <c r="Q19" s="31">
        <v>1.3651251740740742</v>
      </c>
      <c r="T19" s="31">
        <v>1.4887123700655389E-4</v>
      </c>
      <c r="U19" s="44">
        <v>0.83373416703703696</v>
      </c>
      <c r="V19" s="31">
        <v>0.69511266128494187</v>
      </c>
      <c r="W19" s="31">
        <v>0.57953917565329904</v>
      </c>
      <c r="X19" s="31">
        <v>0.48318161187863434</v>
      </c>
      <c r="Y19" s="44">
        <v>1.4846715790869285E-4</v>
      </c>
      <c r="Z19" s="31">
        <v>-4.0407909786103775E-7</v>
      </c>
      <c r="AA19" s="43">
        <v>-2.7142858888399551E-3</v>
      </c>
      <c r="AW19" s="31">
        <v>3.1468825557882883E-5</v>
      </c>
      <c r="AX19" s="31">
        <v>-0.97574383286049393</v>
      </c>
      <c r="AZ19" s="31">
        <v>1.0620319561674261E-4</v>
      </c>
      <c r="BA19" s="31">
        <v>0.30234315948395057</v>
      </c>
      <c r="BF19" s="31">
        <v>6.967991664414483</v>
      </c>
      <c r="BG19" s="31">
        <v>244.89795918199997</v>
      </c>
      <c r="BI19" s="31">
        <v>6.967991664414483</v>
      </c>
      <c r="BJ19" s="31">
        <v>244.89795918199997</v>
      </c>
      <c r="BM19" s="31">
        <v>9.7674418599999999</v>
      </c>
      <c r="BN19" s="31">
        <v>675.32467529999997</v>
      </c>
      <c r="BP19" s="31">
        <v>9.7674418599999999</v>
      </c>
      <c r="BQ19" s="31">
        <v>675.32467529999997</v>
      </c>
    </row>
    <row r="20" spans="10:69" ht="20.25" customHeight="1">
      <c r="J20" s="31">
        <v>1.5666872814814814</v>
      </c>
      <c r="K20" s="31">
        <v>2.0558408916323732E-4</v>
      </c>
      <c r="P20" s="31">
        <v>2.0558408916323732E-4</v>
      </c>
      <c r="Q20" s="31">
        <v>1.5666872814814814</v>
      </c>
      <c r="T20" s="31">
        <v>1.630494500838287E-4</v>
      </c>
      <c r="U20" s="44">
        <v>1.0078105316049382</v>
      </c>
      <c r="V20" s="31">
        <v>1.0156820676138281</v>
      </c>
      <c r="W20" s="31">
        <v>1.0236150845034948</v>
      </c>
      <c r="X20" s="31">
        <v>1.0316100624723008</v>
      </c>
      <c r="Y20" s="44">
        <v>1.6249255405206652E-4</v>
      </c>
      <c r="Z20" s="31">
        <v>-5.5689603176218758E-7</v>
      </c>
      <c r="AA20" s="43">
        <v>-3.415503894529361E-3</v>
      </c>
      <c r="AW20" s="31">
        <v>3.4205800410019421E-5</v>
      </c>
      <c r="AX20" s="31">
        <v>-0.89053803337086435</v>
      </c>
      <c r="AZ20" s="31">
        <v>1.1060330110349931E-4</v>
      </c>
      <c r="BA20" s="31">
        <v>0.35914702581037034</v>
      </c>
      <c r="BF20" s="31">
        <v>7.256682585400589</v>
      </c>
      <c r="BG20" s="31">
        <v>290.90909090639997</v>
      </c>
      <c r="BI20" s="31">
        <v>7.256682585400589</v>
      </c>
      <c r="BJ20" s="31">
        <v>290.90909090639997</v>
      </c>
      <c r="BM20" s="31">
        <v>10.69767442</v>
      </c>
      <c r="BN20" s="31">
        <v>816.32653059999996</v>
      </c>
      <c r="BP20" s="31">
        <v>10.69767442</v>
      </c>
      <c r="BQ20" s="31">
        <v>816.32653059999996</v>
      </c>
    </row>
    <row r="21" spans="10:69" ht="20.25" customHeight="1">
      <c r="J21" s="31">
        <v>1.804897043209877</v>
      </c>
      <c r="K21" s="31">
        <v>2.2259794482548388E-4</v>
      </c>
      <c r="P21" s="31">
        <v>2.2259794482548388E-4</v>
      </c>
      <c r="Q21" s="31">
        <v>1.804897043209877</v>
      </c>
      <c r="T21" s="31">
        <v>1.7722766316110352E-4</v>
      </c>
      <c r="U21" s="44">
        <v>1.2093726379012346</v>
      </c>
      <c r="V21" s="31">
        <v>1.4625821773041907</v>
      </c>
      <c r="W21" s="31">
        <v>1.7688068659137004</v>
      </c>
      <c r="X21" s="31">
        <v>2.139146625367867</v>
      </c>
      <c r="Y21" s="44">
        <v>1.7856531906538766E-4</v>
      </c>
      <c r="Z21" s="31">
        <v>1.3376559042841372E-6</v>
      </c>
      <c r="AA21" s="43">
        <v>7.5476699315737243E-3</v>
      </c>
      <c r="AW21" s="31">
        <v>3.7373990342354045E-5</v>
      </c>
      <c r="AX21" s="31">
        <v>-0.80533223388123465</v>
      </c>
      <c r="AZ21" s="31">
        <v>1.1504443716283541E-4</v>
      </c>
      <c r="BA21" s="31">
        <v>0.4159508921367901</v>
      </c>
      <c r="BF21" s="31">
        <v>7.5480655222536308</v>
      </c>
      <c r="BG21" s="31">
        <v>336.92022263079997</v>
      </c>
      <c r="BI21" s="31">
        <v>7.5480655222536308</v>
      </c>
      <c r="BJ21" s="31">
        <v>336.92022263079997</v>
      </c>
      <c r="BM21" s="31">
        <v>11.627906980000001</v>
      </c>
      <c r="BN21" s="31">
        <v>979.59183670000004</v>
      </c>
      <c r="BP21" s="31">
        <v>11.627906980000001</v>
      </c>
      <c r="BQ21" s="31">
        <v>979.59183670000016</v>
      </c>
    </row>
    <row r="22" spans="10:69" ht="20.25" customHeight="1">
      <c r="J22" s="31">
        <v>2.0156210629629632</v>
      </c>
      <c r="K22" s="31">
        <v>2.3819397927145254E-4</v>
      </c>
      <c r="P22" s="31">
        <v>2.3819397927145254E-4</v>
      </c>
      <c r="Q22" s="31">
        <v>2.0156210629629632</v>
      </c>
      <c r="T22" s="31">
        <v>1.9282369745465632E-4</v>
      </c>
      <c r="U22" s="44">
        <v>1.3651251740740742</v>
      </c>
      <c r="V22" s="31">
        <v>1.8635667408907715</v>
      </c>
      <c r="W22" s="31">
        <v>2.5440018715571693</v>
      </c>
      <c r="X22" s="31">
        <v>3.4728809977542516</v>
      </c>
      <c r="Y22" s="44">
        <v>1.9075791157887657E-4</v>
      </c>
      <c r="Z22" s="31">
        <v>-2.06578587577975E-6</v>
      </c>
      <c r="AA22" s="43">
        <v>-1.0713340232807912E-2</v>
      </c>
      <c r="AW22" s="31">
        <v>4.0946038967190108E-5</v>
      </c>
      <c r="AX22" s="31">
        <v>-0.72012643439160506</v>
      </c>
      <c r="AZ22" s="31">
        <v>1.1952117140827089E-4</v>
      </c>
      <c r="BA22" s="31">
        <v>0.47275475846320986</v>
      </c>
      <c r="BF22" s="31">
        <v>7.8417840560966514</v>
      </c>
      <c r="BG22" s="31">
        <v>382.93135435519997</v>
      </c>
      <c r="BI22" s="31">
        <v>7.8417840560966514</v>
      </c>
      <c r="BJ22" s="31">
        <v>382.93135435519997</v>
      </c>
      <c r="BM22" s="31">
        <v>12.651162790000001</v>
      </c>
      <c r="BN22" s="31">
        <v>1105.7513910000002</v>
      </c>
      <c r="BP22" s="31">
        <v>12.651162790000001</v>
      </c>
      <c r="BQ22" s="31">
        <v>1105.7513910000002</v>
      </c>
    </row>
    <row r="23" spans="10:69" ht="20.25" customHeight="1">
      <c r="J23" s="31">
        <v>2.2263450839506174</v>
      </c>
      <c r="K23" s="31">
        <v>2.5520783493369908E-4</v>
      </c>
      <c r="P23" s="31">
        <v>2.5520783493369908E-4</v>
      </c>
      <c r="Q23" s="31">
        <v>2.2263450839506174</v>
      </c>
      <c r="T23" s="31">
        <v>2.0558408916323732E-4</v>
      </c>
      <c r="U23" s="44">
        <v>1.5666872814814814</v>
      </c>
      <c r="V23" s="31">
        <v>2.4545090379558343</v>
      </c>
      <c r="W23" s="31">
        <v>3.8454480920467522</v>
      </c>
      <c r="X23" s="31">
        <v>6.0246146174068755</v>
      </c>
      <c r="Y23" s="44">
        <v>2.0611486515087943E-4</v>
      </c>
      <c r="Z23" s="31">
        <v>5.3077598764211397E-7</v>
      </c>
      <c r="AA23" s="43">
        <v>2.5817950688813698E-3</v>
      </c>
      <c r="AW23" s="31">
        <v>4.4895212109474207E-5</v>
      </c>
      <c r="AX23" s="31">
        <v>-0.63492063490197548</v>
      </c>
      <c r="AZ23" s="31">
        <v>1.2402819435952686E-4</v>
      </c>
      <c r="BA23" s="31">
        <v>0.52955862478962956</v>
      </c>
      <c r="BF23" s="31">
        <v>8.1374898319285567</v>
      </c>
      <c r="BG23" s="31">
        <v>428.94248607959992</v>
      </c>
      <c r="BI23" s="31">
        <v>8.1374898319285567</v>
      </c>
      <c r="BJ23" s="31">
        <v>428.94248607959997</v>
      </c>
      <c r="BM23" s="31">
        <v>13.488372089999999</v>
      </c>
      <c r="BN23" s="31">
        <v>1269.0166979999999</v>
      </c>
      <c r="BP23" s="31">
        <v>13.488372089999999</v>
      </c>
      <c r="BQ23" s="31">
        <v>1269.0166979999999</v>
      </c>
    </row>
    <row r="24" spans="10:69" ht="20.25" customHeight="1">
      <c r="J24" s="31">
        <v>2.4279071901234568</v>
      </c>
      <c r="K24" s="31">
        <v>2.6371476268861459E-4</v>
      </c>
      <c r="P24" s="31">
        <v>2.6371476268861459E-4</v>
      </c>
      <c r="Q24" s="31">
        <v>2.4279071901234568</v>
      </c>
      <c r="T24" s="31">
        <v>2.2259794482548388E-4</v>
      </c>
      <c r="U24" s="44">
        <v>1.804897043209877</v>
      </c>
      <c r="V24" s="31">
        <v>3.2576533365877567</v>
      </c>
      <c r="W24" s="31">
        <v>5.8797288750100325</v>
      </c>
      <c r="X24" s="31">
        <v>10.612305261381344</v>
      </c>
      <c r="Y24" s="44">
        <v>2.2347733636455576E-4</v>
      </c>
      <c r="Z24" s="31">
        <v>8.793915390718787E-7</v>
      </c>
      <c r="AA24" s="43">
        <v>3.9505824717353932E-3</v>
      </c>
      <c r="AW24" s="31">
        <v>4.919539780679613E-5</v>
      </c>
      <c r="AX24" s="31">
        <v>-0.54971483541234578</v>
      </c>
      <c r="AZ24" s="31">
        <v>1.2856031944252549E-4</v>
      </c>
      <c r="BA24" s="31">
        <v>0.58636249111604932</v>
      </c>
      <c r="BF24" s="31">
        <v>8.434842558624096</v>
      </c>
      <c r="BG24" s="31">
        <v>474.95361780399998</v>
      </c>
      <c r="BI24" s="31">
        <v>8.434842558624096</v>
      </c>
      <c r="BJ24" s="31">
        <v>474.95361780399998</v>
      </c>
      <c r="BM24" s="31">
        <v>14.604651159999996</v>
      </c>
      <c r="BN24" s="31">
        <v>1461.9666050000003</v>
      </c>
      <c r="BP24" s="31">
        <v>14.604651159999996</v>
      </c>
      <c r="BQ24" s="31">
        <v>1461.9666050000003</v>
      </c>
    </row>
    <row r="25" spans="10:69" ht="20.25" customHeight="1">
      <c r="J25" s="31">
        <v>2.6661169518518517</v>
      </c>
      <c r="K25" s="31">
        <v>2.7647515439719553E-4</v>
      </c>
      <c r="P25" s="31">
        <v>2.7647515439719553E-4</v>
      </c>
      <c r="Q25" s="31">
        <v>2.6661169518518517</v>
      </c>
      <c r="T25" s="31">
        <v>2.3819397927145254E-4</v>
      </c>
      <c r="U25" s="44">
        <v>2.0156210629629632</v>
      </c>
      <c r="V25" s="31">
        <v>4.0627282694599458</v>
      </c>
      <c r="W25" s="31">
        <v>8.1889206730185364</v>
      </c>
      <c r="X25" s="31">
        <v>16.505760991469007</v>
      </c>
      <c r="Y25" s="44">
        <v>2.3797954022678624E-4</v>
      </c>
      <c r="Z25" s="31">
        <v>-2.144390446662996E-7</v>
      </c>
      <c r="AA25" s="43">
        <v>-9.002706337170632E-4</v>
      </c>
      <c r="AW25" s="31">
        <v>5.3821106309388869E-5</v>
      </c>
      <c r="AX25" s="31">
        <v>-0.4645090359227162</v>
      </c>
      <c r="AZ25" s="31">
        <v>1.3311248298939019E-4</v>
      </c>
      <c r="BA25" s="31">
        <v>0.64316635744246908</v>
      </c>
      <c r="BF25" s="31">
        <v>8.7335100089338891</v>
      </c>
      <c r="BG25" s="31">
        <v>520.96474952839992</v>
      </c>
      <c r="BI25" s="31">
        <v>8.7335100089338891</v>
      </c>
      <c r="BJ25" s="31">
        <v>520.96474952839992</v>
      </c>
      <c r="BM25" s="31">
        <v>15.627906980000001</v>
      </c>
      <c r="BN25" s="31">
        <v>1632.653061</v>
      </c>
      <c r="BP25" s="31">
        <v>15.627906980000001</v>
      </c>
      <c r="BQ25" s="31">
        <v>1632.653061</v>
      </c>
    </row>
    <row r="26" spans="10:69" ht="20.25" customHeight="1">
      <c r="J26" s="31">
        <v>2.8676790580246916</v>
      </c>
      <c r="K26" s="31">
        <v>2.8639990352080478E-4</v>
      </c>
      <c r="P26" s="31">
        <v>2.8639990352080478E-4</v>
      </c>
      <c r="Q26" s="31">
        <v>2.8676790580246916</v>
      </c>
      <c r="T26" s="31">
        <v>2.5520783493369908E-4</v>
      </c>
      <c r="U26" s="44">
        <v>2.2263450839506174</v>
      </c>
      <c r="V26" s="31">
        <v>4.9566124328310819</v>
      </c>
      <c r="W26" s="31">
        <v>11.035129722881988</v>
      </c>
      <c r="X26" s="31">
        <v>24.568006809295657</v>
      </c>
      <c r="Y26" s="44">
        <v>2.5156263239647122E-4</v>
      </c>
      <c r="Z26" s="31">
        <v>-3.6452025372278574E-6</v>
      </c>
      <c r="AA26" s="43">
        <v>-1.4283270488834527E-2</v>
      </c>
      <c r="AW26" s="31">
        <v>5.874747008012863E-5</v>
      </c>
      <c r="AX26" s="31">
        <v>-0.37930323643308661</v>
      </c>
      <c r="AZ26" s="31">
        <v>1.3767974423844543E-4</v>
      </c>
      <c r="BA26" s="31">
        <v>0.69997022376888884</v>
      </c>
      <c r="BF26" s="31">
        <v>9.0331680194844033</v>
      </c>
      <c r="BG26" s="31">
        <v>566.97588125280004</v>
      </c>
      <c r="BI26" s="31">
        <v>9.0331680194844033</v>
      </c>
      <c r="BJ26" s="31">
        <v>566.97588125280004</v>
      </c>
      <c r="BM26" s="31">
        <v>16.744186049999996</v>
      </c>
      <c r="BN26" s="31">
        <v>1803.3395179999998</v>
      </c>
      <c r="BP26" s="31">
        <v>16.744186049999996</v>
      </c>
      <c r="BQ26" s="31">
        <v>1803.3395179999998</v>
      </c>
    </row>
    <row r="27" spans="10:69" ht="20.25" customHeight="1">
      <c r="J27" s="31">
        <v>3.0417554222222223</v>
      </c>
      <c r="K27" s="31">
        <v>2.9065336747447038E-4</v>
      </c>
      <c r="P27" s="31">
        <v>2.9065336747447038E-4</v>
      </c>
      <c r="Q27" s="31">
        <v>3.0417554222222223</v>
      </c>
      <c r="T27" s="31">
        <v>2.6371476268861459E-4</v>
      </c>
      <c r="U27" s="44">
        <v>2.4279071901234568</v>
      </c>
      <c r="V27" s="31">
        <v>5.8947333238531794</v>
      </c>
      <c r="W27" s="31">
        <v>14.311865420843478</v>
      </c>
      <c r="X27" s="31">
        <v>34.747880959345153</v>
      </c>
      <c r="Y27" s="44">
        <v>2.6361570945196541E-4</v>
      </c>
      <c r="Z27" s="31">
        <v>-9.9053236649179408E-8</v>
      </c>
      <c r="AA27" s="43">
        <v>-3.7560747695470541E-4</v>
      </c>
      <c r="AW27" s="31">
        <v>6.3950243794534835E-5</v>
      </c>
      <c r="AX27" s="31">
        <v>-0.29409743694345702</v>
      </c>
      <c r="AZ27" s="31">
        <v>1.4225728533421675E-4</v>
      </c>
      <c r="BA27" s="31">
        <v>0.7567740900953086</v>
      </c>
      <c r="BF27" s="31">
        <v>9.3335004907779613</v>
      </c>
      <c r="BG27" s="31">
        <v>612.98701297719992</v>
      </c>
      <c r="BI27" s="31">
        <v>9.3335004907779613</v>
      </c>
      <c r="BJ27" s="31">
        <v>612.98701297720004</v>
      </c>
      <c r="BM27" s="31">
        <v>17.302325580000002</v>
      </c>
      <c r="BN27" s="31">
        <v>1966.6048240000002</v>
      </c>
      <c r="BP27" s="31">
        <v>17.302325580000002</v>
      </c>
      <c r="BQ27" s="31">
        <v>1966.6048240000002</v>
      </c>
    </row>
    <row r="28" spans="10:69" ht="20.25" customHeight="1">
      <c r="J28" s="31">
        <v>3.197507959259259</v>
      </c>
      <c r="K28" s="31">
        <v>3.0199593796677337E-4</v>
      </c>
      <c r="P28" s="31">
        <v>3.0199593796677337E-4</v>
      </c>
      <c r="Q28" s="31">
        <v>3.197507959259259</v>
      </c>
      <c r="T28" s="31">
        <v>2.7647515439719553E-4</v>
      </c>
      <c r="U28" s="44">
        <v>2.6661169518518517</v>
      </c>
      <c r="V28" s="31">
        <v>7.108179600951809</v>
      </c>
      <c r="W28" s="31">
        <v>18.95123813090515</v>
      </c>
      <c r="X28" s="31">
        <v>50.526217239387421</v>
      </c>
      <c r="Y28" s="44">
        <v>2.766003329126509E-4</v>
      </c>
      <c r="Z28" s="31">
        <v>1.2517851545536425E-7</v>
      </c>
      <c r="AA28" s="43">
        <v>4.5276587593664081E-4</v>
      </c>
      <c r="AW28" s="31">
        <v>6.9405804340770099E-5</v>
      </c>
      <c r="AX28" s="31">
        <v>-0.20889163745382722</v>
      </c>
      <c r="AZ28" s="31">
        <v>1.4684041132743091E-4</v>
      </c>
      <c r="BA28" s="31">
        <v>0.81357795642172837</v>
      </c>
      <c r="BF28" s="31">
        <v>9.6341993871927425</v>
      </c>
      <c r="BG28" s="31">
        <v>658.99814470159993</v>
      </c>
      <c r="BI28" s="31">
        <v>9.6341993871927425</v>
      </c>
      <c r="BJ28" s="31">
        <v>658.99814470159993</v>
      </c>
      <c r="BM28" s="31">
        <v>18.139534879999999</v>
      </c>
      <c r="BN28" s="31">
        <v>2159.5547310000002</v>
      </c>
      <c r="BP28" s="31">
        <v>18.139534879999999</v>
      </c>
      <c r="BQ28" s="31">
        <v>2159.5547310000002</v>
      </c>
    </row>
    <row r="29" spans="10:69" ht="20.25" customHeight="1">
      <c r="J29" s="31">
        <v>3.3349366679012347</v>
      </c>
      <c r="K29" s="31">
        <v>3.0624940192043891E-4</v>
      </c>
      <c r="P29" s="31">
        <v>3.0624940192043891E-4</v>
      </c>
      <c r="Q29" s="31">
        <v>3.3349366679012347</v>
      </c>
      <c r="T29" s="31">
        <v>2.8639990352080478E-4</v>
      </c>
      <c r="U29" s="44">
        <v>2.8676790580246916</v>
      </c>
      <c r="V29" s="31">
        <v>8.2235831798333816</v>
      </c>
      <c r="W29" s="31">
        <v>23.582597266732289</v>
      </c>
      <c r="X29" s="31">
        <v>67.627320315638514</v>
      </c>
      <c r="Y29" s="44">
        <v>2.8648194862830113E-4</v>
      </c>
      <c r="Z29" s="31">
        <v>8.2045107496341464E-8</v>
      </c>
      <c r="AA29" s="43">
        <v>2.8647044390635247E-4</v>
      </c>
      <c r="AW29" s="31">
        <v>7.5091150819640227E-5</v>
      </c>
      <c r="AX29" s="31">
        <v>-0.12368583796419763</v>
      </c>
      <c r="AZ29" s="31">
        <v>1.5142455017501578E-4</v>
      </c>
      <c r="BA29" s="31">
        <v>0.87038182274814813</v>
      </c>
      <c r="BF29" s="31">
        <v>9.9349647369827832</v>
      </c>
      <c r="BG29" s="31">
        <v>705.00927642599993</v>
      </c>
      <c r="BI29" s="31">
        <v>9.9349647369827832</v>
      </c>
      <c r="BJ29" s="31">
        <v>705.00927642599993</v>
      </c>
      <c r="BM29" s="31">
        <v>18.790697670000004</v>
      </c>
      <c r="BN29" s="31">
        <v>2322.8200370000004</v>
      </c>
      <c r="BP29" s="31">
        <v>18.790697670000004</v>
      </c>
      <c r="BQ29" s="31">
        <v>2322.8200370000004</v>
      </c>
    </row>
    <row r="30" spans="10:69" ht="20.25" customHeight="1">
      <c r="J30" s="31">
        <v>3.4723653765432103</v>
      </c>
      <c r="K30" s="31">
        <v>3.0908504450541076E-4</v>
      </c>
      <c r="P30" s="31">
        <v>3.0908504450541076E-4</v>
      </c>
      <c r="Q30" s="31">
        <v>3.4723653765432103</v>
      </c>
      <c r="T30" s="31">
        <v>2.9065336747447038E-4</v>
      </c>
      <c r="U30" s="44">
        <v>3.0417554222222223</v>
      </c>
      <c r="V30" s="31">
        <v>9.25227604861829</v>
      </c>
      <c r="W30" s="31">
        <v>28.14316083878148</v>
      </c>
      <c r="X30" s="31">
        <v>85.604612079835675</v>
      </c>
      <c r="Y30" s="44">
        <v>2.9418900963122435E-4</v>
      </c>
      <c r="Z30" s="31">
        <v>3.5356421567539725E-6</v>
      </c>
      <c r="AA30" s="43">
        <v>1.2164463076673373E-2</v>
      </c>
      <c r="AW30" s="31">
        <v>8.098390454459429E-5</v>
      </c>
      <c r="AX30" s="31">
        <v>-3.8480038474568046E-2</v>
      </c>
      <c r="AZ30" s="31">
        <v>1.5600525274010035E-4</v>
      </c>
      <c r="BA30" s="31">
        <v>0.92718568907456789</v>
      </c>
      <c r="BF30" s="31">
        <v>10.235504632277985</v>
      </c>
      <c r="BG30" s="31">
        <v>751.02040815040004</v>
      </c>
      <c r="BI30" s="31">
        <v>10.235504632277985</v>
      </c>
      <c r="BJ30" s="31">
        <v>751.02040815040004</v>
      </c>
      <c r="BM30" s="31">
        <v>19.069767440000003</v>
      </c>
      <c r="BN30" s="31">
        <v>2463.8218919999999</v>
      </c>
      <c r="BP30" s="31">
        <v>19.069767440000003</v>
      </c>
      <c r="BQ30" s="31">
        <v>2463.8218919999999</v>
      </c>
    </row>
    <row r="31" spans="10:69" ht="20.25" customHeight="1">
      <c r="J31" s="31">
        <v>3.6556036555555562</v>
      </c>
      <c r="K31" s="31">
        <v>3.1475632967535436E-4</v>
      </c>
      <c r="P31" s="31">
        <v>3.1475632967535436E-4</v>
      </c>
      <c r="Q31" s="31">
        <v>3.6556036555555562</v>
      </c>
      <c r="T31" s="31">
        <v>3.0199593796677337E-4</v>
      </c>
      <c r="U31" s="44">
        <v>3.197507959259259</v>
      </c>
      <c r="V31" s="31">
        <v>10.224057149526312</v>
      </c>
      <c r="W31" s="31">
        <v>32.691504111531913</v>
      </c>
      <c r="X31" s="31">
        <v>104.53134459678009</v>
      </c>
      <c r="Y31" s="44">
        <v>3.0043746055056911E-4</v>
      </c>
      <c r="Z31" s="31">
        <v>-1.5584774162042542E-6</v>
      </c>
      <c r="AA31" s="43">
        <v>-5.1605906579303834E-3</v>
      </c>
      <c r="AW31" s="31">
        <v>8.7062309041724504E-5</v>
      </c>
      <c r="AX31" s="31">
        <v>4.672576101506154E-2</v>
      </c>
      <c r="AZ31" s="31">
        <v>1.605781927920147E-4</v>
      </c>
      <c r="BA31" s="31">
        <v>0.98398955540098765</v>
      </c>
      <c r="BF31" s="31">
        <v>10.535535229084084</v>
      </c>
      <c r="BG31" s="31">
        <v>797.03153987480005</v>
      </c>
      <c r="BI31" s="31">
        <v>10.535535229084084</v>
      </c>
      <c r="BJ31" s="31">
        <v>797.03153987480005</v>
      </c>
      <c r="BM31" s="31">
        <v>19.813953489999999</v>
      </c>
      <c r="BN31" s="31">
        <v>2589.9814470000001</v>
      </c>
      <c r="BP31" s="31">
        <v>19.813953489999999</v>
      </c>
      <c r="BQ31" s="31">
        <v>2589.9814470000001</v>
      </c>
    </row>
    <row r="32" spans="10:69" ht="20.25" customHeight="1">
      <c r="J32" s="31">
        <v>3.848003848148148</v>
      </c>
      <c r="K32" s="31">
        <v>3.2042761484529797E-4</v>
      </c>
      <c r="P32" s="31">
        <v>3.2042761484529797E-4</v>
      </c>
      <c r="Q32" s="31">
        <v>3.848003848148148</v>
      </c>
      <c r="T32" s="31">
        <v>3.0624940192043891E-4</v>
      </c>
      <c r="U32" s="44">
        <v>3.3349366679012347</v>
      </c>
      <c r="V32" s="31">
        <v>11.12180257891219</v>
      </c>
      <c r="W32" s="31">
        <v>37.090507233572779</v>
      </c>
      <c r="X32" s="31">
        <v>123.69449260429784</v>
      </c>
      <c r="Y32" s="44">
        <v>3.05450942366662E-4</v>
      </c>
      <c r="Z32" s="31">
        <v>-7.9845955377691067E-7</v>
      </c>
      <c r="AA32" s="43">
        <v>-2.6072199611489981E-3</v>
      </c>
      <c r="AW32" s="31">
        <v>9.3305230049766307E-5</v>
      </c>
      <c r="AX32" s="31">
        <v>0.13193156050469113</v>
      </c>
      <c r="AZ32" s="31">
        <v>1.6513916700629011E-4</v>
      </c>
      <c r="BA32" s="31">
        <v>1.0407934217274073</v>
      </c>
      <c r="BF32" s="31">
        <v>10.834780747282693</v>
      </c>
      <c r="BG32" s="31">
        <v>843.04267159919993</v>
      </c>
      <c r="BI32" s="31">
        <v>10.834780747282693</v>
      </c>
      <c r="BJ32" s="31">
        <v>843.04267159919993</v>
      </c>
      <c r="BM32" s="31">
        <v>20.093023259999999</v>
      </c>
      <c r="BN32" s="31">
        <v>2701.2987010000002</v>
      </c>
      <c r="BP32" s="31">
        <v>20.093023259999999</v>
      </c>
      <c r="BQ32" s="31">
        <v>2701.2987010000006</v>
      </c>
    </row>
    <row r="33" spans="10:69" ht="20.25" customHeight="1">
      <c r="J33" s="31">
        <v>4.0587278679012355</v>
      </c>
      <c r="K33" s="31">
        <v>3.2468107879896361E-4</v>
      </c>
      <c r="P33" s="31">
        <v>3.2468107879896361E-4</v>
      </c>
      <c r="Q33" s="31">
        <v>4.0587278679012355</v>
      </c>
      <c r="T33" s="31">
        <v>3.0908504450541076E-4</v>
      </c>
      <c r="U33" s="44">
        <v>3.4723653765432103</v>
      </c>
      <c r="V33" s="31">
        <v>12.057321308216071</v>
      </c>
      <c r="W33" s="31">
        <v>41.86742504450617</v>
      </c>
      <c r="X33" s="31">
        <v>145.3789971295613</v>
      </c>
      <c r="Y33" s="44">
        <v>3.1000743741995475E-4</v>
      </c>
      <c r="Z33" s="31">
        <v>9.2239291454398846E-7</v>
      </c>
      <c r="AA33" s="43">
        <v>2.9842689930856272E-3</v>
      </c>
      <c r="AW33" s="31">
        <v>9.9692155520098407E-5</v>
      </c>
      <c r="AX33" s="31">
        <v>0.21713735999432093</v>
      </c>
      <c r="AZ33" s="31">
        <v>1.6968409496465891E-4</v>
      </c>
      <c r="BA33" s="31">
        <v>1.0975972880538272</v>
      </c>
      <c r="BF33" s="31">
        <v>11.132973470631271</v>
      </c>
      <c r="BG33" s="31">
        <v>889.05380332360005</v>
      </c>
      <c r="BI33" s="31">
        <v>11.132973470631271</v>
      </c>
      <c r="BJ33" s="31">
        <v>889.05380332360016</v>
      </c>
      <c r="BM33" s="31">
        <v>20.279069769999996</v>
      </c>
      <c r="BN33" s="31">
        <v>2812.6159550000007</v>
      </c>
      <c r="BP33" s="31">
        <v>20.279069769999996</v>
      </c>
      <c r="BQ33" s="31">
        <v>2812.6159550000007</v>
      </c>
    </row>
    <row r="34" spans="10:69" ht="20.25" customHeight="1">
      <c r="J34" s="31">
        <v>4.296937630864198</v>
      </c>
      <c r="K34" s="31">
        <v>3.2751672138393536E-4</v>
      </c>
      <c r="P34" s="31">
        <v>3.2751672138393536E-4</v>
      </c>
      <c r="Q34" s="31">
        <v>4.296937630864198</v>
      </c>
      <c r="T34" s="31">
        <v>3.1475632967535436E-4</v>
      </c>
      <c r="U34" s="44">
        <v>3.6556036555555562</v>
      </c>
      <c r="V34" s="31">
        <v>13.363438086511145</v>
      </c>
      <c r="W34" s="31">
        <v>48.851433119840493</v>
      </c>
      <c r="X34" s="31">
        <v>178.58147749201666</v>
      </c>
      <c r="Y34" s="44">
        <v>3.1539926786072205E-4</v>
      </c>
      <c r="Z34" s="31">
        <v>6.4293818536768953E-7</v>
      </c>
      <c r="AA34" s="43">
        <v>2.0426537125745117E-3</v>
      </c>
      <c r="AW34" s="31">
        <v>1.0620319561674261E-4</v>
      </c>
      <c r="AX34" s="31">
        <v>0.30234315948395052</v>
      </c>
      <c r="AZ34" s="31">
        <v>1.7420901915505459E-4</v>
      </c>
      <c r="BA34" s="31">
        <v>1.1544011543802468</v>
      </c>
      <c r="BF34" s="31">
        <v>11.429853746763131</v>
      </c>
      <c r="BG34" s="31">
        <v>935.06493504799994</v>
      </c>
      <c r="BI34" s="31">
        <v>11.429853746763131</v>
      </c>
      <c r="BJ34" s="31">
        <v>935.06493504799994</v>
      </c>
      <c r="BM34" s="31">
        <v>20.651162790000001</v>
      </c>
      <c r="BN34" s="31">
        <v>2961.0389610000007</v>
      </c>
      <c r="BP34" s="31">
        <v>20.651162790000001</v>
      </c>
      <c r="BQ34" s="31">
        <v>2961.0389610000007</v>
      </c>
    </row>
    <row r="35" spans="10:69" ht="20.25" customHeight="1">
      <c r="J35" s="31">
        <v>4.4984997370370365</v>
      </c>
      <c r="K35" s="31">
        <v>3.3177018533760101E-4</v>
      </c>
      <c r="P35" s="31">
        <v>3.3177018533760101E-4</v>
      </c>
      <c r="Q35" s="31">
        <v>4.4984997370370365</v>
      </c>
      <c r="T35" s="31">
        <v>3.2042761484529797E-4</v>
      </c>
      <c r="U35" s="44">
        <v>3.848003848148148</v>
      </c>
      <c r="V35" s="31">
        <v>14.807133615362956</v>
      </c>
      <c r="W35" s="31">
        <v>56.97790713196045</v>
      </c>
      <c r="X35" s="31">
        <v>219.25120590321163</v>
      </c>
      <c r="Y35" s="44">
        <v>3.2026956135971791E-4</v>
      </c>
      <c r="Z35" s="31">
        <v>-1.5805348558005404E-7</v>
      </c>
      <c r="AA35" s="43">
        <v>-4.9325800354742223E-4</v>
      </c>
      <c r="AW35" s="31">
        <v>1.1281908271636401E-4</v>
      </c>
      <c r="AX35" s="31">
        <v>0.3875489589735801</v>
      </c>
      <c r="AZ35" s="31">
        <v>1.7871010497161181E-4</v>
      </c>
      <c r="BA35" s="31">
        <v>1.2112050207066667</v>
      </c>
      <c r="BF35" s="31">
        <v>11.725169987187449</v>
      </c>
      <c r="BG35" s="31">
        <v>981.07606677240005</v>
      </c>
      <c r="BI35" s="31">
        <v>11.725169987187449</v>
      </c>
      <c r="BJ35" s="31">
        <v>981.07606677240005</v>
      </c>
      <c r="BM35" s="31">
        <v>21.023255809999998</v>
      </c>
      <c r="BN35" s="31">
        <v>3116.8831169999999</v>
      </c>
      <c r="BP35" s="31">
        <v>21.023255809999998</v>
      </c>
      <c r="BQ35" s="31">
        <v>3116.8831170000003</v>
      </c>
    </row>
    <row r="36" spans="10:69" ht="20.25" customHeight="1">
      <c r="J36" s="31">
        <v>4.6725761012345686</v>
      </c>
      <c r="K36" s="31">
        <v>3.3460582792257276E-4</v>
      </c>
      <c r="P36" s="31">
        <v>3.3460582792257276E-4</v>
      </c>
      <c r="Q36" s="31">
        <v>4.6725761012345686</v>
      </c>
      <c r="T36" s="31">
        <v>3.2468107879896361E-4</v>
      </c>
      <c r="U36" s="44">
        <v>4.0587278679012355</v>
      </c>
      <c r="V36" s="31">
        <v>16.473271905678111</v>
      </c>
      <c r="W36" s="31">
        <v>66.860527759090246</v>
      </c>
      <c r="X36" s="31">
        <v>271.36868727840374</v>
      </c>
      <c r="Y36" s="44">
        <v>3.2475814034446703E-4</v>
      </c>
      <c r="Z36" s="31">
        <v>7.7061545503413938E-8</v>
      </c>
      <c r="AA36" s="43">
        <v>2.3734535374982227E-4</v>
      </c>
      <c r="AW36" s="31">
        <v>1.1952117140827089E-4</v>
      </c>
      <c r="AX36" s="31">
        <v>0.47275475846320969</v>
      </c>
      <c r="AZ36" s="31">
        <v>1.8318364071466626E-4</v>
      </c>
      <c r="BA36" s="31">
        <v>1.2680088870330863</v>
      </c>
      <c r="BF36" s="31">
        <v>12.018678667289251</v>
      </c>
      <c r="BG36" s="31">
        <v>1027.0871984967998</v>
      </c>
      <c r="BI36" s="31">
        <v>12.018678667289251</v>
      </c>
      <c r="BJ36" s="31">
        <v>1027.0871984967998</v>
      </c>
      <c r="BM36" s="31">
        <v>21.302325580000002</v>
      </c>
      <c r="BN36" s="31">
        <v>3287.5695730000007</v>
      </c>
      <c r="BP36" s="31">
        <v>21.302325580000002</v>
      </c>
      <c r="BQ36" s="31">
        <v>3287.5695730000007</v>
      </c>
    </row>
    <row r="37" spans="10:69" ht="20.25" customHeight="1">
      <c r="J37" s="31">
        <v>4.8833001209876539</v>
      </c>
      <c r="K37" s="31">
        <v>3.3744147050754456E-4</v>
      </c>
      <c r="P37" s="31">
        <v>3.3744147050754456E-4</v>
      </c>
      <c r="Q37" s="31">
        <v>4.8833001209876539</v>
      </c>
      <c r="T37" s="31">
        <v>3.2751672138393536E-4</v>
      </c>
      <c r="U37" s="31">
        <v>4.296937630864198</v>
      </c>
      <c r="V37" s="31">
        <v>18.463673003536826</v>
      </c>
      <c r="W37" s="31">
        <v>79.337251332868775</v>
      </c>
      <c r="X37" s="31">
        <v>340.90722078153459</v>
      </c>
      <c r="Y37" s="31">
        <v>3.2891164817700175E-4</v>
      </c>
      <c r="Z37" s="31">
        <v>1.3949267930663846E-6</v>
      </c>
      <c r="AA37" s="31">
        <v>4.2591009923770122E-3</v>
      </c>
      <c r="AW37" s="31">
        <v>1.2629143849441472E-4</v>
      </c>
      <c r="AX37" s="31">
        <v>0.55796055795283928</v>
      </c>
      <c r="AZ37" s="31">
        <v>1.8762603759075487E-4</v>
      </c>
      <c r="BA37" s="31">
        <v>1.3248127533595062</v>
      </c>
      <c r="BF37" s="31">
        <v>12.310144326329427</v>
      </c>
      <c r="BG37" s="31">
        <v>1073.0983302211998</v>
      </c>
      <c r="BI37" s="31">
        <v>12.310144326329427</v>
      </c>
      <c r="BJ37" s="31">
        <v>1073.0983302211998</v>
      </c>
      <c r="BM37" s="31">
        <v>21.488372089999995</v>
      </c>
      <c r="BN37" s="31">
        <v>3480.5194810000003</v>
      </c>
      <c r="BP37" s="31">
        <v>21.488372089999995</v>
      </c>
      <c r="BQ37" s="31">
        <v>3480.5194810000003</v>
      </c>
    </row>
    <row r="38" spans="10:69" ht="20.25" customHeight="1">
      <c r="J38" s="31">
        <v>5.1123479691358034</v>
      </c>
      <c r="K38" s="31">
        <v>3.3885929187623835E-4</v>
      </c>
      <c r="P38" s="31">
        <v>3.3885929187623835E-4</v>
      </c>
      <c r="Q38" s="31">
        <v>5.1123479691358034</v>
      </c>
      <c r="T38" s="31">
        <v>3.3177018533760101E-4</v>
      </c>
      <c r="U38" s="31">
        <v>4.4984997370370365</v>
      </c>
      <c r="V38" s="31">
        <v>20.236499884122289</v>
      </c>
      <c r="W38" s="31">
        <v>91.033889407274131</v>
      </c>
      <c r="X38" s="31">
        <v>409.51592756008142</v>
      </c>
      <c r="Y38" s="31">
        <v>3.318080390202734E-4</v>
      </c>
      <c r="Z38" s="31">
        <v>3.7853682672390424E-8</v>
      </c>
      <c r="AA38" s="31">
        <v>1.1409609526507473E-4</v>
      </c>
      <c r="AW38" s="31">
        <v>1.3311248298939019E-4</v>
      </c>
      <c r="AX38" s="31">
        <v>0.64316635744246908</v>
      </c>
      <c r="AZ38" s="31">
        <v>1.920338297126156E-4</v>
      </c>
      <c r="BA38" s="31">
        <v>1.3816166196859259</v>
      </c>
      <c r="BF38" s="31">
        <v>12.59933956744471</v>
      </c>
      <c r="BG38" s="31">
        <v>1119.1094619455998</v>
      </c>
      <c r="BI38" s="31">
        <v>12.59933956744471</v>
      </c>
      <c r="BJ38" s="31">
        <v>1119.1094619455998</v>
      </c>
      <c r="BM38" s="31">
        <v>21.767441860000002</v>
      </c>
      <c r="BN38" s="31">
        <v>3643.7847869999991</v>
      </c>
      <c r="BP38" s="31">
        <v>21.767441860000002</v>
      </c>
      <c r="BQ38" s="31">
        <v>3643.7847869999991</v>
      </c>
    </row>
    <row r="39" spans="10:69" ht="20.25" customHeight="1">
      <c r="J39" s="31">
        <v>5.2681005061728392</v>
      </c>
      <c r="K39" s="31">
        <v>3.402771132449322E-4</v>
      </c>
      <c r="P39" s="31">
        <v>3.402771132449322E-4</v>
      </c>
      <c r="Q39" s="31">
        <v>5.2681005061728392</v>
      </c>
      <c r="T39" s="31">
        <v>3.3460582792257276E-4</v>
      </c>
      <c r="U39" s="31">
        <v>4.6725761012345686</v>
      </c>
      <c r="V39" s="31">
        <v>21.832967421828442</v>
      </c>
      <c r="W39" s="31">
        <v>102.0162017942685</v>
      </c>
      <c r="X39" s="31">
        <v>476.6784664426221</v>
      </c>
      <c r="Y39" s="31">
        <v>3.3397064234150209E-4</v>
      </c>
      <c r="Z39" s="31">
        <v>-6.3518558107066242E-7</v>
      </c>
      <c r="AA39" s="31">
        <v>-1.898309975693679E-3</v>
      </c>
      <c r="AW39" s="31">
        <v>1.3996752612043526E-4</v>
      </c>
      <c r="AX39" s="31">
        <v>0.72837215693209889</v>
      </c>
      <c r="AZ39" s="31">
        <v>1.9640367409918765E-4</v>
      </c>
      <c r="BA39" s="31">
        <v>1.4384204860123457</v>
      </c>
      <c r="BF39" s="31">
        <v>12.886045057647701</v>
      </c>
      <c r="BG39" s="31">
        <v>1165.1205936700001</v>
      </c>
      <c r="BI39" s="31">
        <v>12.886045057647701</v>
      </c>
      <c r="BJ39" s="31">
        <v>1165.1205936700001</v>
      </c>
      <c r="BM39" s="31">
        <v>21.953488369999999</v>
      </c>
      <c r="BN39" s="31">
        <v>3784.7866420000005</v>
      </c>
      <c r="BP39" s="31">
        <v>21.953488369999999</v>
      </c>
      <c r="BQ39" s="31">
        <v>3784.7866420000005</v>
      </c>
    </row>
    <row r="40" spans="10:69" ht="20.25" customHeight="1">
      <c r="J40" s="31">
        <v>5.442176870370373</v>
      </c>
      <c r="K40" s="31">
        <v>3.4453057704618195E-4</v>
      </c>
      <c r="P40" s="31">
        <v>3.4453057704618195E-4</v>
      </c>
      <c r="Q40" s="31">
        <v>5.442176870370373</v>
      </c>
      <c r="T40" s="31">
        <v>3.3744147050754456E-4</v>
      </c>
      <c r="U40" s="31">
        <v>4.8833001209876539</v>
      </c>
      <c r="V40" s="31">
        <v>23.846620071638036</v>
      </c>
      <c r="W40" s="31">
        <v>116.45020268097663</v>
      </c>
      <c r="X40" s="31">
        <v>568.66128884105001</v>
      </c>
      <c r="Y40" s="31">
        <v>3.3632642397279249E-4</v>
      </c>
      <c r="Z40" s="31">
        <v>-1.1150465347520636E-6</v>
      </c>
      <c r="AA40" s="31">
        <v>-3.3044146384109989E-3</v>
      </c>
      <c r="AW40" s="31">
        <v>1.4684041132743091E-4</v>
      </c>
      <c r="AX40" s="31">
        <v>0.81357795642172825</v>
      </c>
      <c r="AZ40" s="31">
        <v>2.0073235067561118E-4</v>
      </c>
      <c r="BA40" s="31">
        <v>1.4952243523387654</v>
      </c>
      <c r="BF40" s="31">
        <v>13.170049527826849</v>
      </c>
      <c r="BG40" s="31">
        <v>1211.1317253943998</v>
      </c>
      <c r="BI40" s="31">
        <v>13.170049527826849</v>
      </c>
      <c r="BJ40" s="31">
        <v>1211.1317253943998</v>
      </c>
      <c r="BM40" s="31">
        <v>22.139534879999996</v>
      </c>
      <c r="BN40" s="31">
        <v>3955.4730979999995</v>
      </c>
      <c r="BP40" s="31">
        <v>22.139534879999996</v>
      </c>
      <c r="BQ40" s="31">
        <v>3955.4730979999995</v>
      </c>
    </row>
    <row r="41" spans="10:69" ht="20.25" customHeight="1">
      <c r="J41" s="31">
        <v>5.6070913209876556</v>
      </c>
      <c r="K41" s="31">
        <v>3.4594839841487575E-4</v>
      </c>
      <c r="P41" s="31">
        <v>3.4594839841487575E-4</v>
      </c>
      <c r="Q41" s="31">
        <v>5.6070913209876556</v>
      </c>
      <c r="T41" s="31">
        <v>3.3885929187623835E-4</v>
      </c>
      <c r="U41" s="31">
        <v>5.1123479691358034</v>
      </c>
      <c r="V41" s="31">
        <v>26.136101757526973</v>
      </c>
      <c r="W41" s="31">
        <v>133.61684674121972</v>
      </c>
      <c r="X41" s="31">
        <v>683.09581507980454</v>
      </c>
      <c r="Y41" s="31">
        <v>3.3879180114322898E-4</v>
      </c>
      <c r="Z41" s="31">
        <v>-6.7490733009374897E-8</v>
      </c>
      <c r="AA41" s="31">
        <v>-1.9917037728457671E-4</v>
      </c>
      <c r="AW41" s="31">
        <v>1.5371560426290158E-4</v>
      </c>
      <c r="AX41" s="31">
        <v>0.89878375591135806</v>
      </c>
      <c r="AZ41" s="31">
        <v>2.0501676227322764E-4</v>
      </c>
      <c r="BA41" s="31">
        <v>1.5520282186651853</v>
      </c>
      <c r="BF41" s="31">
        <v>13.451149772746467</v>
      </c>
      <c r="BG41" s="31">
        <v>1257.1428571188001</v>
      </c>
      <c r="BI41" s="31">
        <v>13.451149772746467</v>
      </c>
      <c r="BJ41" s="31">
        <v>1257.1428571188001</v>
      </c>
      <c r="BM41" s="31">
        <v>22.232558139999998</v>
      </c>
      <c r="BN41" s="31">
        <v>4141.0018550000004</v>
      </c>
      <c r="BP41" s="31">
        <v>22.232558139999998</v>
      </c>
      <c r="BQ41" s="31">
        <v>4141.0018550000004</v>
      </c>
    </row>
    <row r="42" spans="10:69" ht="20.25" customHeight="1">
      <c r="J42" s="31">
        <v>5.6987104604938272</v>
      </c>
      <c r="K42" s="31">
        <v>3.4453057704618195E-4</v>
      </c>
      <c r="P42" s="31">
        <v>3.4453057704618195E-4</v>
      </c>
      <c r="Q42" s="31">
        <v>5.6987104604938272</v>
      </c>
      <c r="T42" s="31">
        <v>3.402771132449322E-4</v>
      </c>
      <c r="U42" s="31">
        <v>5.2681005061728392</v>
      </c>
      <c r="V42" s="31">
        <v>27.752882943138523</v>
      </c>
      <c r="W42" s="31">
        <v>146.20497668050362</v>
      </c>
      <c r="X42" s="31">
        <v>770.22251165554917</v>
      </c>
      <c r="Y42" s="31">
        <v>3.4055805488862406E-4</v>
      </c>
      <c r="Z42" s="31">
        <v>2.8094164369185789E-7</v>
      </c>
      <c r="AA42" s="31">
        <v>8.2562603465380726E-4</v>
      </c>
      <c r="AW42" s="31">
        <v>1.6057819279201473E-4</v>
      </c>
      <c r="AX42" s="31">
        <v>0.98398955540098787</v>
      </c>
      <c r="AZ42" s="31">
        <v>2.092539346295795E-4</v>
      </c>
      <c r="BA42" s="31">
        <v>1.6088320849916049</v>
      </c>
      <c r="BF42" s="31">
        <v>13.729150651046711</v>
      </c>
      <c r="BG42" s="31">
        <v>1303.1539888431998</v>
      </c>
      <c r="BI42" s="31">
        <v>13.729150651046711</v>
      </c>
      <c r="BJ42" s="31">
        <v>1303.1539888431998</v>
      </c>
      <c r="BM42" s="31">
        <v>22.325581400000001</v>
      </c>
      <c r="BN42" s="31">
        <v>4267.1614099999997</v>
      </c>
      <c r="BP42" s="31">
        <v>22.325581400000001</v>
      </c>
      <c r="BQ42" s="31">
        <v>4267.1614100000006</v>
      </c>
    </row>
    <row r="43" spans="10:69" ht="20.25" customHeight="1">
      <c r="T43" s="31">
        <v>3.4453057704618195E-4</v>
      </c>
      <c r="U43" s="31">
        <v>5.442176870370373</v>
      </c>
      <c r="V43" s="31">
        <v>29.617289088394269</v>
      </c>
      <c r="W43" s="31">
        <v>161.18252563993212</v>
      </c>
      <c r="X43" s="31">
        <v>877.1838129455183</v>
      </c>
      <c r="Y43" s="31">
        <v>3.4276195882278605E-4</v>
      </c>
      <c r="Z43" s="31">
        <v>-1.7686182233958981E-6</v>
      </c>
      <c r="AA43" s="31">
        <v>-5.13341439404035E-3</v>
      </c>
      <c r="AW43" s="31">
        <v>1.6741388699258107E-4</v>
      </c>
      <c r="AX43" s="31">
        <v>1.0691953548906172</v>
      </c>
      <c r="AZ43" s="31">
        <v>2.1344101638841044E-4</v>
      </c>
      <c r="BA43" s="31">
        <v>1.6656359513180248</v>
      </c>
      <c r="BF43" s="31">
        <v>14.003865085243607</v>
      </c>
      <c r="BG43" s="31">
        <v>1349.1651205676001</v>
      </c>
      <c r="BI43" s="31">
        <v>14.003865085243607</v>
      </c>
      <c r="BJ43" s="31">
        <v>1349.1651205676001</v>
      </c>
      <c r="BM43" s="31">
        <v>22.604651159999996</v>
      </c>
      <c r="BN43" s="31">
        <v>4408.163265000002</v>
      </c>
      <c r="BP43" s="31">
        <v>22.604651159999996</v>
      </c>
      <c r="BQ43" s="31">
        <v>4408.163265000002</v>
      </c>
    </row>
    <row r="44" spans="10:69" ht="20.25" customHeight="1">
      <c r="T44" s="31">
        <v>3.4594839841487575E-4</v>
      </c>
      <c r="U44" s="31">
        <v>5.6070913209876556</v>
      </c>
      <c r="V44" s="31">
        <v>31.439473081895091</v>
      </c>
      <c r="W44" s="31">
        <v>176.28399665391899</v>
      </c>
      <c r="X44" s="31">
        <v>988.44046766720601</v>
      </c>
      <c r="Y44" s="31">
        <v>3.4520749676822231E-4</v>
      </c>
      <c r="Z44" s="31">
        <v>-7.409016466534404E-7</v>
      </c>
      <c r="AA44" s="31">
        <v>-2.1416536398151504E-3</v>
      </c>
      <c r="AW44" s="31">
        <v>1.7420901915505459E-4</v>
      </c>
      <c r="AX44" s="31">
        <v>1.154401154380247</v>
      </c>
      <c r="AZ44" s="31">
        <v>2.1757527909966522E-4</v>
      </c>
      <c r="BA44" s="31">
        <v>1.7224398176444444</v>
      </c>
      <c r="BF44" s="31">
        <v>14.275114061729033</v>
      </c>
      <c r="BG44" s="31">
        <v>1395.1762522920001</v>
      </c>
      <c r="BI44" s="31">
        <v>14.275114061729033</v>
      </c>
      <c r="BJ44" s="31">
        <v>1395.1762522920001</v>
      </c>
      <c r="BM44" s="31">
        <v>22.697674419999998</v>
      </c>
      <c r="BN44" s="31">
        <v>4541.7439700000004</v>
      </c>
      <c r="BP44" s="31">
        <v>22.697674419999998</v>
      </c>
      <c r="BQ44" s="31">
        <v>4541.7439700000004</v>
      </c>
    </row>
    <row r="45" spans="10:69" ht="20.25" customHeight="1">
      <c r="T45" s="31">
        <v>3.4453057704618195E-4</v>
      </c>
      <c r="U45" s="31">
        <v>5.6987104604938272</v>
      </c>
      <c r="V45" s="31">
        <v>32.475300912541769</v>
      </c>
      <c r="W45" s="31">
        <v>185.06733701798652</v>
      </c>
      <c r="X45" s="31">
        <v>1054.6451693601362</v>
      </c>
      <c r="Y45" s="31">
        <v>3.4676837085966233E-4</v>
      </c>
      <c r="Z45" s="31">
        <v>2.2377938134803747E-6</v>
      </c>
      <c r="AA45" s="31">
        <v>6.4951965444286644E-3</v>
      </c>
      <c r="AW45" s="31">
        <v>1.8095054378253238E-4</v>
      </c>
      <c r="AX45" s="31">
        <v>1.2396069538698764</v>
      </c>
      <c r="AZ45" s="31">
        <v>2.2165411721948973E-4</v>
      </c>
      <c r="BA45" s="31">
        <v>1.7792436839708643</v>
      </c>
      <c r="BF45" s="31">
        <v>14.542726630770721</v>
      </c>
      <c r="BG45" s="31">
        <v>1441.1873840164001</v>
      </c>
      <c r="BI45" s="31">
        <v>14.542726630770721</v>
      </c>
      <c r="BJ45" s="31">
        <v>1441.1873840164001</v>
      </c>
      <c r="BM45" s="31">
        <v>22.604651159999996</v>
      </c>
      <c r="BN45" s="31">
        <v>4615.9554730000009</v>
      </c>
      <c r="BP45" s="31">
        <v>22.604651159999996</v>
      </c>
      <c r="BQ45" s="31">
        <v>4615.9554730000009</v>
      </c>
    </row>
    <row r="46" spans="10:69" ht="20.25" customHeight="1">
      <c r="AW46" s="31">
        <v>1.8762603759075487E-4</v>
      </c>
      <c r="AX46" s="31">
        <v>1.3248127533595062</v>
      </c>
      <c r="AZ46" s="31">
        <v>2.2567504811023097E-4</v>
      </c>
      <c r="BA46" s="31">
        <v>1.8360475502972839</v>
      </c>
      <c r="BF46" s="31">
        <v>14.806539906512253</v>
      </c>
      <c r="BG46" s="31">
        <v>1487.1985157408001</v>
      </c>
      <c r="BI46" s="31">
        <v>14.806539906512253</v>
      </c>
      <c r="BJ46" s="31">
        <v>1487.1985157408003</v>
      </c>
      <c r="BN46" s="31">
        <v>0</v>
      </c>
      <c r="BQ46" s="31">
        <v>0</v>
      </c>
    </row>
    <row r="47" spans="10:69" ht="20.25" customHeight="1">
      <c r="AW47" s="31">
        <v>1.9422369950810556E-4</v>
      </c>
      <c r="AX47" s="31">
        <v>1.410018552849136</v>
      </c>
      <c r="AZ47" s="31">
        <v>2.2963571204043709E-4</v>
      </c>
      <c r="BA47" s="31">
        <v>1.8928514166237036</v>
      </c>
      <c r="BF47" s="31">
        <v>15.066399066973077</v>
      </c>
      <c r="BG47" s="31">
        <v>1533.2096474652001</v>
      </c>
      <c r="BI47" s="31">
        <v>15.066399066973077</v>
      </c>
      <c r="BJ47" s="31">
        <v>1533.2096474652003</v>
      </c>
      <c r="BN47" s="31">
        <v>0</v>
      </c>
      <c r="BQ47" s="31">
        <v>0</v>
      </c>
    </row>
    <row r="48" spans="10:69" ht="20.25" customHeight="1">
      <c r="AW48" s="31">
        <v>2.0073235067561118E-4</v>
      </c>
      <c r="AX48" s="31">
        <v>1.4952243523387654</v>
      </c>
      <c r="AZ48" s="31">
        <v>2.3353387218485742E-4</v>
      </c>
      <c r="BA48" s="31">
        <v>1.9496552829501235</v>
      </c>
      <c r="BF48" s="31">
        <v>15.322157354048493</v>
      </c>
      <c r="BG48" s="31">
        <v>1579.2207791895999</v>
      </c>
      <c r="BI48" s="31">
        <v>15.322157354048493</v>
      </c>
      <c r="BJ48" s="31">
        <v>1579.2207791895999</v>
      </c>
      <c r="BN48" s="31">
        <v>0</v>
      </c>
      <c r="BQ48" s="31">
        <v>0</v>
      </c>
    </row>
    <row r="49" spans="49:69" ht="20.25" customHeight="1">
      <c r="AW49" s="31">
        <v>2.0714143444694176E-4</v>
      </c>
      <c r="AX49" s="31">
        <v>1.5804301518283952</v>
      </c>
      <c r="AZ49" s="31">
        <v>2.3736741462444228E-4</v>
      </c>
      <c r="BA49" s="31">
        <v>2.0064591492765431</v>
      </c>
      <c r="BF49" s="31">
        <v>15.573676073509656</v>
      </c>
      <c r="BG49" s="31">
        <v>1625.2319109139999</v>
      </c>
      <c r="BI49" s="31">
        <v>15.573676073509656</v>
      </c>
      <c r="BJ49" s="31">
        <v>1625.2319109139999</v>
      </c>
      <c r="BN49" s="31">
        <v>0</v>
      </c>
      <c r="BQ49" s="31">
        <v>0</v>
      </c>
    </row>
    <row r="50" spans="49:69" ht="20.25" customHeight="1">
      <c r="AW50" s="31">
        <v>2.1344101638841044E-4</v>
      </c>
      <c r="AX50" s="31">
        <v>1.6656359513180246</v>
      </c>
      <c r="AZ50" s="31">
        <v>2.4113434834634328E-4</v>
      </c>
      <c r="BA50" s="31">
        <v>2.063263015602963</v>
      </c>
      <c r="BF50" s="31">
        <v>15.820824595003582</v>
      </c>
      <c r="BG50" s="31">
        <v>1671.2430426384001</v>
      </c>
      <c r="BI50" s="31">
        <v>15.820824595003582</v>
      </c>
      <c r="BJ50" s="31">
        <v>1671.2430426384001</v>
      </c>
      <c r="BN50" s="31">
        <v>0</v>
      </c>
      <c r="BQ50" s="31">
        <v>0</v>
      </c>
    </row>
    <row r="51" spans="49:69" ht="20.25" customHeight="1">
      <c r="AW51" s="31">
        <v>2.1962178427897366E-4</v>
      </c>
      <c r="AX51" s="31">
        <v>1.7508417508076544</v>
      </c>
      <c r="AZ51" s="31">
        <v>2.4483280524391306E-4</v>
      </c>
      <c r="BA51" s="31">
        <v>2.1200668819293829</v>
      </c>
      <c r="BF51" s="31">
        <v>16.063480352053134</v>
      </c>
      <c r="BG51" s="31">
        <v>1717.2541743628001</v>
      </c>
      <c r="BI51" s="31">
        <v>16.063480352053134</v>
      </c>
      <c r="BJ51" s="31">
        <v>1717.2541743628001</v>
      </c>
      <c r="BN51" s="31">
        <v>0</v>
      </c>
      <c r="BQ51" s="31">
        <v>0</v>
      </c>
    </row>
    <row r="52" spans="49:69" ht="20.25" customHeight="1">
      <c r="AW52" s="31">
        <v>2.2567504811023097E-4</v>
      </c>
      <c r="AX52" s="31">
        <v>1.8360475502972842</v>
      </c>
      <c r="AZ52" s="31">
        <v>2.4846104011670537E-4</v>
      </c>
      <c r="BA52" s="31">
        <v>2.1768707482558027</v>
      </c>
      <c r="BF52" s="31">
        <v>16.301528842057039</v>
      </c>
      <c r="BG52" s="31">
        <v>1763.2653060872003</v>
      </c>
      <c r="BI52" s="31">
        <v>16.301528842057039</v>
      </c>
      <c r="BJ52" s="31">
        <v>1763.2653060872003</v>
      </c>
      <c r="BN52" s="31">
        <v>0</v>
      </c>
      <c r="BQ52" s="31">
        <v>0</v>
      </c>
    </row>
    <row r="53" spans="49:69" ht="20.25" customHeight="1">
      <c r="AW53" s="31">
        <v>2.3159274008642517E-4</v>
      </c>
      <c r="AX53" s="31">
        <v>1.9212533497869135</v>
      </c>
      <c r="AZ53" s="31">
        <v>2.5201743067047514E-4</v>
      </c>
      <c r="BA53" s="31">
        <v>2.2336746145822226</v>
      </c>
      <c r="BF53" s="31">
        <v>16.534863626289873</v>
      </c>
      <c r="BG53" s="31">
        <v>1809.2764378116001</v>
      </c>
      <c r="BI53" s="31">
        <v>16.534863626289873</v>
      </c>
      <c r="BJ53" s="31">
        <v>1809.2764378116001</v>
      </c>
      <c r="BN53" s="31">
        <v>0</v>
      </c>
      <c r="BQ53" s="31">
        <v>0</v>
      </c>
    </row>
    <row r="54" spans="49:69" ht="20.25" customHeight="1">
      <c r="AW54" s="31">
        <v>2.373674146244423E-4</v>
      </c>
      <c r="AX54" s="31">
        <v>2.0064591492765436</v>
      </c>
      <c r="AZ54" s="31">
        <v>2.5550047751717834E-4</v>
      </c>
      <c r="BA54" s="31">
        <v>2.290478480908642</v>
      </c>
      <c r="BF54" s="31">
        <v>16.763386329902072</v>
      </c>
      <c r="BG54" s="31">
        <v>1855.2875695359999</v>
      </c>
      <c r="BI54" s="31">
        <v>16.763386329902072</v>
      </c>
      <c r="BJ54" s="31">
        <v>1855.2875695359999</v>
      </c>
      <c r="BN54" s="31">
        <v>0</v>
      </c>
      <c r="BQ54" s="31">
        <v>0</v>
      </c>
    </row>
    <row r="55" spans="49:69" ht="20.25" customHeight="1">
      <c r="AW55" s="31">
        <v>2.4299224835381154E-4</v>
      </c>
      <c r="AX55" s="31">
        <v>2.0916649487661729</v>
      </c>
      <c r="AZ55" s="31">
        <v>2.5890880417497235E-4</v>
      </c>
      <c r="BA55" s="31">
        <v>2.3472823472350619</v>
      </c>
      <c r="BF55" s="31">
        <v>16.987006641919937</v>
      </c>
      <c r="BG55" s="31">
        <v>1901.2987012604001</v>
      </c>
      <c r="BI55" s="31">
        <v>16.987006641919937</v>
      </c>
      <c r="BJ55" s="31">
        <v>1901.2987012604001</v>
      </c>
      <c r="BN55" s="31">
        <v>0</v>
      </c>
      <c r="BQ55" s="31">
        <v>0</v>
      </c>
    </row>
    <row r="56" spans="49:69" ht="20.25" customHeight="1">
      <c r="AW56" s="31">
        <v>2.4846104011670532E-4</v>
      </c>
      <c r="AX56" s="31">
        <v>2.1768707482558023</v>
      </c>
      <c r="AZ56" s="31">
        <v>2.6224115706821523E-4</v>
      </c>
      <c r="BA56" s="31">
        <v>2.4040862135614818</v>
      </c>
      <c r="BF56" s="31">
        <v>17.205642315245598</v>
      </c>
      <c r="BG56" s="31">
        <v>1947.3098329848001</v>
      </c>
      <c r="BI56" s="31">
        <v>17.205642315245598</v>
      </c>
      <c r="BJ56" s="31">
        <v>1947.3098329848001</v>
      </c>
      <c r="BN56" s="31">
        <v>0</v>
      </c>
      <c r="BQ56" s="31">
        <v>0</v>
      </c>
    </row>
    <row r="57" spans="49:69" ht="20.25" customHeight="1">
      <c r="AW57" s="31">
        <v>2.5376821096793933E-4</v>
      </c>
      <c r="AX57" s="31">
        <v>2.2620765477454325</v>
      </c>
      <c r="AZ57" s="31">
        <v>2.6549640552746658E-4</v>
      </c>
      <c r="BA57" s="31">
        <v>2.4608900798879016</v>
      </c>
      <c r="BF57" s="31">
        <v>17.419219166657083</v>
      </c>
      <c r="BG57" s="31">
        <v>1993.3209647092003</v>
      </c>
      <c r="BI57" s="31">
        <v>17.419219166657083</v>
      </c>
      <c r="BJ57" s="31">
        <v>1993.3209647092006</v>
      </c>
      <c r="BN57" s="31">
        <v>0</v>
      </c>
      <c r="BQ57" s="31">
        <v>0</v>
      </c>
    </row>
    <row r="58" spans="49:69" ht="20.25" customHeight="1">
      <c r="AW58" s="31">
        <v>2.5890880417497235E-4</v>
      </c>
      <c r="AX58" s="31">
        <v>2.3472823472350619</v>
      </c>
      <c r="AZ58" s="31">
        <v>2.6867354178948674E-4</v>
      </c>
      <c r="BA58" s="31">
        <v>2.5176939462143211</v>
      </c>
      <c r="BF58" s="31">
        <v>17.627671076808223</v>
      </c>
      <c r="BG58" s="31">
        <v>2039.3320964335999</v>
      </c>
      <c r="BI58" s="31">
        <v>17.627671076808223</v>
      </c>
      <c r="BJ58" s="31">
        <v>2039.3320964336001</v>
      </c>
      <c r="BN58" s="31">
        <v>0</v>
      </c>
      <c r="BQ58" s="31">
        <v>0</v>
      </c>
    </row>
    <row r="59" spans="49:69" ht="20.25" customHeight="1">
      <c r="AW59" s="31">
        <v>2.6387848521790638E-4</v>
      </c>
      <c r="AX59" s="31">
        <v>2.4324881467246913</v>
      </c>
      <c r="AZ59" s="31">
        <v>2.7177168099723763E-4</v>
      </c>
      <c r="BA59" s="31">
        <v>2.5744978125407409</v>
      </c>
      <c r="BF59" s="31">
        <v>17.83093999022876</v>
      </c>
      <c r="BG59" s="31">
        <v>2085.3432281580003</v>
      </c>
      <c r="BI59" s="31">
        <v>17.83093999022876</v>
      </c>
      <c r="BJ59" s="31">
        <v>2085.3432281580003</v>
      </c>
      <c r="BN59" s="31">
        <v>0</v>
      </c>
      <c r="BQ59" s="31">
        <v>0</v>
      </c>
    </row>
    <row r="60" spans="49:69" ht="20.25" customHeight="1">
      <c r="AW60" s="31">
        <v>2.6867354178948674E-4</v>
      </c>
      <c r="AX60" s="31">
        <v>2.5176939462143206</v>
      </c>
      <c r="AZ60" s="31">
        <v>2.7479006119988188E-4</v>
      </c>
      <c r="BA60" s="31">
        <v>2.6313016788671608</v>
      </c>
      <c r="BF60" s="31">
        <v>18.028975915324249</v>
      </c>
      <c r="BG60" s="31">
        <v>2131.3543598824003</v>
      </c>
      <c r="BI60" s="31">
        <v>18.028975915324249</v>
      </c>
      <c r="BJ60" s="31">
        <v>2131.3543598824003</v>
      </c>
      <c r="BN60" s="31">
        <v>0</v>
      </c>
      <c r="BQ60" s="31">
        <v>0</v>
      </c>
    </row>
    <row r="61" spans="49:69" ht="20.25" customHeight="1">
      <c r="AW61" s="31">
        <v>2.7329088379510181E-4</v>
      </c>
      <c r="AX61" s="31">
        <v>2.60289974570395</v>
      </c>
      <c r="AZ61" s="31">
        <v>2.7772804335278348E-4</v>
      </c>
      <c r="BA61" s="31">
        <v>2.6881055451935807</v>
      </c>
      <c r="BF61" s="31">
        <v>18.22173692437612</v>
      </c>
      <c r="BG61" s="31">
        <v>2177.3654916068003</v>
      </c>
      <c r="BI61" s="31">
        <v>18.22173692437612</v>
      </c>
      <c r="BJ61" s="31">
        <v>2177.3654916068003</v>
      </c>
      <c r="BN61" s="31">
        <v>0</v>
      </c>
      <c r="BQ61" s="31">
        <v>0</v>
      </c>
    </row>
    <row r="62" spans="49:69" ht="20.25" customHeight="1">
      <c r="AW62" s="31">
        <v>2.7772804335278337E-4</v>
      </c>
      <c r="AX62" s="31">
        <v>2.6881055451935794</v>
      </c>
      <c r="AZ62" s="31">
        <v>2.8058511131750748E-4</v>
      </c>
      <c r="BA62" s="31">
        <v>2.7449094115200001</v>
      </c>
      <c r="BF62" s="31">
        <v>18.409189153541664</v>
      </c>
      <c r="BG62" s="31">
        <v>2223.3766233311999</v>
      </c>
      <c r="BI62" s="31">
        <v>18.409189153541664</v>
      </c>
      <c r="BJ62" s="31">
        <v>2223.3766233311999</v>
      </c>
      <c r="BN62" s="31">
        <v>0</v>
      </c>
      <c r="BQ62" s="31">
        <v>0</v>
      </c>
    </row>
    <row r="63" spans="49:69" ht="20.25" customHeight="1">
      <c r="AW63" s="31">
        <v>2.8198317479320636E-4</v>
      </c>
      <c r="AX63" s="31">
        <v>2.7733113446832096</v>
      </c>
      <c r="AZ63" s="31">
        <v>2.8336087186182012E-4</v>
      </c>
      <c r="BA63" s="31">
        <v>2.80171327784642</v>
      </c>
      <c r="BF63" s="31">
        <v>18.591306802854017</v>
      </c>
      <c r="BG63" s="31">
        <v>2269.3877550556003</v>
      </c>
      <c r="BI63" s="31">
        <v>18.591306802854017</v>
      </c>
      <c r="BJ63" s="31">
        <v>2269.3877550556003</v>
      </c>
      <c r="BN63" s="31">
        <v>0</v>
      </c>
      <c r="BQ63" s="31">
        <v>0</v>
      </c>
    </row>
    <row r="64" spans="49:69" ht="20.25" customHeight="1">
      <c r="AW64" s="31">
        <v>2.8605505465968868E-4</v>
      </c>
      <c r="AX64" s="31">
        <v>2.858517144172839</v>
      </c>
      <c r="AZ64" s="31">
        <v>2.8605505465968868E-4</v>
      </c>
      <c r="BA64" s="31">
        <v>2.8585171441728399</v>
      </c>
      <c r="BF64" s="31">
        <v>18.768072136222173</v>
      </c>
      <c r="BG64" s="31">
        <v>2315.3988867800003</v>
      </c>
      <c r="BI64" s="31">
        <v>18.768072136222173</v>
      </c>
      <c r="BJ64" s="31">
        <v>2315.3988867800003</v>
      </c>
      <c r="BN64" s="31">
        <v>0</v>
      </c>
      <c r="BQ64" s="31">
        <v>0</v>
      </c>
    </row>
    <row r="65" spans="49:69" ht="20.25" customHeight="1">
      <c r="AW65" s="31">
        <v>2.8994308170819162E-4</v>
      </c>
      <c r="AX65" s="31">
        <v>2.9437229436624683</v>
      </c>
      <c r="AZ65" s="31">
        <v>2.886675122912816E-4</v>
      </c>
      <c r="BA65" s="31">
        <v>2.9153210104992593</v>
      </c>
      <c r="BF65" s="31">
        <v>18.939475481430986</v>
      </c>
      <c r="BG65" s="31">
        <v>2361.4100185043999</v>
      </c>
      <c r="BI65" s="31">
        <v>18.939475481430986</v>
      </c>
      <c r="BJ65" s="31">
        <v>2361.4100185043999</v>
      </c>
      <c r="BN65" s="31">
        <v>0</v>
      </c>
      <c r="BQ65" s="31">
        <v>0</v>
      </c>
    </row>
    <row r="66" spans="49:69" ht="20.25" customHeight="1">
      <c r="AW66" s="31">
        <v>2.9364727690731974E-4</v>
      </c>
      <c r="AX66" s="31">
        <v>3.0289287431520977</v>
      </c>
      <c r="AZ66" s="31">
        <v>2.9119822024296839E-4</v>
      </c>
      <c r="BA66" s="31">
        <v>2.9721248768256792</v>
      </c>
      <c r="BF66" s="31">
        <v>19.105515230141155</v>
      </c>
      <c r="BG66" s="31">
        <v>2407.4211502288003</v>
      </c>
      <c r="BI66" s="31">
        <v>19.105515230141155</v>
      </c>
      <c r="BJ66" s="31">
        <v>2407.4211502288003</v>
      </c>
      <c r="BN66" s="31">
        <v>0</v>
      </c>
      <c r="BQ66" s="31">
        <v>0</v>
      </c>
    </row>
    <row r="67" spans="49:69" ht="20.25" customHeight="1">
      <c r="AW67" s="31">
        <v>2.9716828343832077E-4</v>
      </c>
      <c r="AX67" s="31">
        <v>3.114134542641728</v>
      </c>
      <c r="AZ67" s="31">
        <v>2.9364727690731984E-4</v>
      </c>
      <c r="BA67" s="31">
        <v>3.028928743152099</v>
      </c>
      <c r="BF67" s="31">
        <v>19.266197837889255</v>
      </c>
      <c r="BG67" s="31">
        <v>2453.4322819531999</v>
      </c>
      <c r="BI67" s="31">
        <v>19.266197837889255</v>
      </c>
      <c r="BJ67" s="31">
        <v>2453.4322819531999</v>
      </c>
      <c r="BN67" s="31">
        <v>0</v>
      </c>
      <c r="BQ67" s="31">
        <v>0</v>
      </c>
    </row>
    <row r="68" spans="49:69" ht="20.25" customHeight="1">
      <c r="AW68" s="31">
        <v>3.0050736669508563E-4</v>
      </c>
      <c r="AX68" s="31">
        <v>3.1993403421313573</v>
      </c>
      <c r="AZ68" s="31">
        <v>2.9601490358310768E-4</v>
      </c>
      <c r="BA68" s="31">
        <v>3.0857326094785189</v>
      </c>
      <c r="BF68" s="31">
        <v>19.421537824087693</v>
      </c>
      <c r="BG68" s="31">
        <v>2499.4434136776003</v>
      </c>
      <c r="BI68" s="31">
        <v>19.421537824087693</v>
      </c>
      <c r="BJ68" s="31">
        <v>2499.4434136776003</v>
      </c>
      <c r="BN68" s="31">
        <v>0</v>
      </c>
      <c r="BQ68" s="31">
        <v>0</v>
      </c>
    </row>
    <row r="69" spans="49:69" ht="20.25" customHeight="1">
      <c r="AW69" s="31">
        <v>3.036664142841484E-4</v>
      </c>
      <c r="AX69" s="31">
        <v>3.2845461416209867</v>
      </c>
      <c r="AZ69" s="31">
        <v>2.9830144447530493E-4</v>
      </c>
      <c r="BA69" s="31">
        <v>3.1425364758049383</v>
      </c>
      <c r="BF69" s="31">
        <v>19.571557772024754</v>
      </c>
      <c r="BG69" s="31">
        <v>2545.4545454019999</v>
      </c>
      <c r="BI69" s="31">
        <v>19.571557772024754</v>
      </c>
      <c r="BJ69" s="31">
        <v>2545.4545454019999</v>
      </c>
      <c r="BN69" s="31">
        <v>0</v>
      </c>
      <c r="BQ69" s="31">
        <v>0</v>
      </c>
    </row>
    <row r="70" spans="49:69" ht="20.25" customHeight="1">
      <c r="AW70" s="31">
        <v>3.0664793602468637E-4</v>
      </c>
      <c r="AX70" s="31">
        <v>3.3697519411106169</v>
      </c>
      <c r="AZ70" s="31">
        <v>3.0050736669508569E-4</v>
      </c>
      <c r="BA70" s="31">
        <v>3.1993403421313582</v>
      </c>
      <c r="BF70" s="31">
        <v>19.716288328864572</v>
      </c>
      <c r="BG70" s="31">
        <v>2591.4656771264004</v>
      </c>
      <c r="BI70" s="31">
        <v>19.716288328864572</v>
      </c>
      <c r="BJ70" s="31">
        <v>2591.4656771264004</v>
      </c>
      <c r="BN70" s="31">
        <v>0</v>
      </c>
      <c r="BQ70" s="31">
        <v>0</v>
      </c>
    </row>
    <row r="71" spans="49:69" ht="20.25" customHeight="1">
      <c r="AW71" s="31">
        <v>3.0945506394852013E-4</v>
      </c>
      <c r="AX71" s="31">
        <v>3.4549577406002463</v>
      </c>
      <c r="AZ71" s="31">
        <v>3.0263326025982515E-4</v>
      </c>
      <c r="BA71" s="31">
        <v>3.2561442084577781</v>
      </c>
      <c r="BF71" s="31">
        <v>19.855768205647127</v>
      </c>
      <c r="BG71" s="31">
        <v>2637.4768088507999</v>
      </c>
      <c r="BI71" s="31">
        <v>19.855768205647127</v>
      </c>
      <c r="BJ71" s="31">
        <v>2637.4768088507999</v>
      </c>
      <c r="BN71" s="31">
        <v>0</v>
      </c>
      <c r="BQ71" s="31">
        <v>0</v>
      </c>
    </row>
    <row r="72" spans="49:69" ht="20.25" customHeight="1">
      <c r="AW72" s="31">
        <v>3.1209155230011332E-4</v>
      </c>
      <c r="AX72" s="31">
        <v>3.5401635400898757</v>
      </c>
      <c r="AZ72" s="31">
        <v>3.0467983809309956E-4</v>
      </c>
      <c r="BA72" s="31">
        <v>3.3129480747841979</v>
      </c>
      <c r="BF72" s="31">
        <v>19.990044177288258</v>
      </c>
      <c r="BG72" s="31">
        <v>2683.4879405752004</v>
      </c>
      <c r="BI72" s="31">
        <v>19.990044177288258</v>
      </c>
      <c r="BJ72" s="31">
        <v>2683.4879405752004</v>
      </c>
      <c r="BN72" s="31">
        <v>0</v>
      </c>
      <c r="BQ72" s="31">
        <v>0</v>
      </c>
    </row>
    <row r="73" spans="49:69" ht="20.25" customHeight="1">
      <c r="AW73" s="31">
        <v>3.1456177753657314E-4</v>
      </c>
      <c r="AX73" s="31">
        <v>3.6253693395795059</v>
      </c>
      <c r="AZ73" s="31">
        <v>3.0664793602468642E-4</v>
      </c>
      <c r="BA73" s="31">
        <v>3.3697519411106174</v>
      </c>
      <c r="BF73" s="31">
        <v>20.119171082579676</v>
      </c>
      <c r="BG73" s="31">
        <v>2729.4990722995999</v>
      </c>
      <c r="BI73" s="31">
        <v>20.119171082579676</v>
      </c>
      <c r="BJ73" s="31">
        <v>2729.4990722996004</v>
      </c>
      <c r="BN73" s="31">
        <v>0</v>
      </c>
      <c r="BQ73" s="31">
        <v>0</v>
      </c>
    </row>
    <row r="74" spans="49:69" ht="20.25" customHeight="1">
      <c r="AW74" s="31">
        <v>3.1687073832764942E-4</v>
      </c>
      <c r="AX74" s="31">
        <v>3.7105751390691353</v>
      </c>
      <c r="AZ74" s="31">
        <v>3.0853851279056437E-4</v>
      </c>
      <c r="BA74" s="31">
        <v>3.4265558074370372</v>
      </c>
      <c r="BF74" s="31">
        <v>20.243211824188929</v>
      </c>
      <c r="BG74" s="31">
        <v>2775.5102040240004</v>
      </c>
      <c r="BI74" s="31">
        <v>20.243211824188929</v>
      </c>
      <c r="BJ74" s="31">
        <v>2775.5102040240008</v>
      </c>
      <c r="BN74" s="31">
        <v>0</v>
      </c>
      <c r="BQ74" s="31">
        <v>0</v>
      </c>
    </row>
    <row r="75" spans="49:69" ht="20.25" customHeight="1">
      <c r="AW75" s="31">
        <v>3.1902405555573563E-4</v>
      </c>
      <c r="AX75" s="31">
        <v>3.7957809385587646</v>
      </c>
      <c r="AZ75" s="31">
        <v>3.1035265003291309E-4</v>
      </c>
      <c r="BA75" s="31">
        <v>3.4833596737634571</v>
      </c>
      <c r="BF75" s="31">
        <v>20.362237368659425</v>
      </c>
      <c r="BG75" s="31">
        <v>2821.5213357484004</v>
      </c>
      <c r="BI75" s="31">
        <v>20.362237368659425</v>
      </c>
      <c r="BJ75" s="31">
        <v>2821.5213357484008</v>
      </c>
      <c r="BN75" s="31">
        <v>0</v>
      </c>
      <c r="BQ75" s="31">
        <v>0</v>
      </c>
    </row>
    <row r="76" spans="49:69" ht="20.25" customHeight="1">
      <c r="AW76" s="31">
        <v>3.2102797231586843E-4</v>
      </c>
      <c r="AX76" s="31">
        <v>3.880986738048394</v>
      </c>
      <c r="AZ76" s="31">
        <v>3.1209155230011343E-4</v>
      </c>
      <c r="BA76" s="31">
        <v>3.540163540089877</v>
      </c>
      <c r="BF76" s="31">
        <v>20.476326746410443</v>
      </c>
      <c r="BG76" s="31">
        <v>2867.5324674728008</v>
      </c>
      <c r="BI76" s="31">
        <v>20.476326746410443</v>
      </c>
      <c r="BJ76" s="31">
        <v>2867.5324674728008</v>
      </c>
      <c r="BN76" s="31">
        <v>0</v>
      </c>
      <c r="BQ76" s="31">
        <v>0</v>
      </c>
    </row>
    <row r="77" spans="49:69" ht="20.25" customHeight="1">
      <c r="AW77" s="31">
        <v>3.2288935391572759E-4</v>
      </c>
      <c r="AX77" s="31">
        <v>3.9661925375380243</v>
      </c>
      <c r="AZ77" s="31">
        <v>3.1375654704674731E-4</v>
      </c>
      <c r="BA77" s="31">
        <v>3.5969674064162964</v>
      </c>
      <c r="BF77" s="31">
        <v>20.58556705173709</v>
      </c>
      <c r="BG77" s="31">
        <v>2913.5435991971999</v>
      </c>
      <c r="BI77" s="31">
        <v>20.58556705173709</v>
      </c>
      <c r="BJ77" s="31">
        <v>2913.5435991971999</v>
      </c>
      <c r="BN77" s="31">
        <v>0</v>
      </c>
      <c r="BQ77" s="31">
        <v>0</v>
      </c>
    </row>
    <row r="78" spans="49:69" ht="20.25" customHeight="1">
      <c r="AW78" s="31">
        <v>3.24615687875636E-4</v>
      </c>
      <c r="AX78" s="31">
        <v>4.0513983370276536</v>
      </c>
      <c r="AZ78" s="31">
        <v>3.1534908463359791E-4</v>
      </c>
      <c r="BA78" s="31">
        <v>3.6537712727427163</v>
      </c>
      <c r="BF78" s="31">
        <v>20.690053442810356</v>
      </c>
      <c r="BG78" s="31">
        <v>2959.5547309215999</v>
      </c>
      <c r="BI78" s="31">
        <v>20.690053442810356</v>
      </c>
      <c r="BJ78" s="31">
        <v>2959.5547309215999</v>
      </c>
      <c r="BN78" s="31">
        <v>0</v>
      </c>
      <c r="BQ78" s="31">
        <v>0</v>
      </c>
    </row>
    <row r="79" spans="49:69" ht="20.25" customHeight="1">
      <c r="AW79" s="31">
        <v>3.2621508392855994E-4</v>
      </c>
      <c r="AX79" s="31">
        <v>4.136604136517283</v>
      </c>
      <c r="AZ79" s="31">
        <v>3.1687073832764942E-4</v>
      </c>
      <c r="BA79" s="31">
        <v>3.7105751390691362</v>
      </c>
      <c r="BF79" s="31">
        <v>20.789889141677076</v>
      </c>
      <c r="BG79" s="31">
        <v>3005.5658626460004</v>
      </c>
      <c r="BI79" s="31">
        <v>20.789889141677076</v>
      </c>
      <c r="BJ79" s="31">
        <v>3005.5658626460004</v>
      </c>
      <c r="BN79" s="31">
        <v>0</v>
      </c>
      <c r="BQ79" s="31">
        <v>0</v>
      </c>
    </row>
    <row r="80" spans="49:69" ht="20.25" customHeight="1">
      <c r="AW80" s="31">
        <v>3.2769627402010873E-4</v>
      </c>
      <c r="AX80" s="31">
        <v>4.2218099360069132</v>
      </c>
      <c r="AZ80" s="31">
        <v>3.183232043020871E-4</v>
      </c>
      <c r="BA80" s="31">
        <v>3.7673790053955556</v>
      </c>
      <c r="BF80" s="31">
        <v>20.885185434259935</v>
      </c>
      <c r="BG80" s="31">
        <v>3051.5769943703999</v>
      </c>
      <c r="BI80" s="31">
        <v>20.885185434259935</v>
      </c>
      <c r="BJ80" s="31">
        <v>3051.5769943703999</v>
      </c>
      <c r="BN80" s="31">
        <v>0</v>
      </c>
      <c r="BQ80" s="31">
        <v>0</v>
      </c>
    </row>
    <row r="81" spans="49:69" ht="20.25" customHeight="1">
      <c r="AW81" s="31">
        <v>3.29068612308535E-4</v>
      </c>
      <c r="AX81" s="31">
        <v>4.3070157354965426</v>
      </c>
      <c r="AZ81" s="31">
        <v>3.1970830163629768E-4</v>
      </c>
      <c r="BA81" s="31">
        <v>3.8241828717219755</v>
      </c>
      <c r="BF81" s="31">
        <v>20.976061670357492</v>
      </c>
      <c r="BG81" s="31">
        <v>3097.5881260947999</v>
      </c>
      <c r="BI81" s="31">
        <v>20.976061670357492</v>
      </c>
      <c r="BJ81" s="31">
        <v>3097.5881260947999</v>
      </c>
      <c r="BN81" s="31">
        <v>0</v>
      </c>
      <c r="BQ81" s="31">
        <v>0</v>
      </c>
    </row>
    <row r="82" spans="49:69" ht="20.25" customHeight="1">
      <c r="AW82" s="31">
        <v>3.3034207516473464E-4</v>
      </c>
      <c r="AX82" s="31">
        <v>4.392221534986172</v>
      </c>
      <c r="AZ82" s="31">
        <v>3.2102797231586849E-4</v>
      </c>
      <c r="BA82" s="31">
        <v>3.8809867380483953</v>
      </c>
      <c r="BF82" s="31">
        <v>21.062645263644132</v>
      </c>
      <c r="BG82" s="31">
        <v>3143.5992578192004</v>
      </c>
      <c r="BI82" s="31">
        <v>21.062645263644132</v>
      </c>
      <c r="BJ82" s="31">
        <v>3143.5992578192004</v>
      </c>
      <c r="BN82" s="31">
        <v>0</v>
      </c>
      <c r="BQ82" s="31">
        <v>0</v>
      </c>
    </row>
    <row r="83" spans="49:69" ht="20.25" customHeight="1">
      <c r="AW83" s="31">
        <v>3.3152726117224645E-4</v>
      </c>
      <c r="AX83" s="31">
        <v>4.4774273344758013</v>
      </c>
      <c r="AZ83" s="31">
        <v>3.2228428123258837E-4</v>
      </c>
      <c r="BA83" s="31">
        <v>3.9377906043748152</v>
      </c>
      <c r="BF83" s="31">
        <v>21.145071691670122</v>
      </c>
      <c r="BG83" s="31">
        <v>3189.6103895436004</v>
      </c>
      <c r="BI83" s="31">
        <v>21.145071691670122</v>
      </c>
      <c r="BJ83" s="31">
        <v>3189.6103895436004</v>
      </c>
      <c r="BN83" s="31">
        <v>0</v>
      </c>
      <c r="BQ83" s="31">
        <v>0</v>
      </c>
    </row>
    <row r="84" spans="49:69" ht="20.25" customHeight="1">
      <c r="AW84" s="31">
        <v>3.3263539112725283E-4</v>
      </c>
      <c r="AX84" s="31">
        <v>4.5626331339654316</v>
      </c>
      <c r="AZ84" s="31">
        <v>3.2347941618444736E-4</v>
      </c>
      <c r="BA84" s="31">
        <v>3.9945944707012346</v>
      </c>
      <c r="BF84" s="31">
        <v>21.223484495861587</v>
      </c>
      <c r="BG84" s="31">
        <v>3235.6215212679999</v>
      </c>
      <c r="BI84" s="31">
        <v>21.223484495861587</v>
      </c>
      <c r="BJ84" s="31">
        <v>3235.6215212679999</v>
      </c>
      <c r="BN84" s="31">
        <v>0</v>
      </c>
      <c r="BQ84" s="31">
        <v>0</v>
      </c>
    </row>
    <row r="85" spans="49:69" ht="20.25" customHeight="1">
      <c r="AW85" s="31">
        <v>3.3367830803857936E-4</v>
      </c>
      <c r="AX85" s="31">
        <v>4.6478389334550609</v>
      </c>
      <c r="AZ85" s="31">
        <v>3.24615687875636E-4</v>
      </c>
      <c r="BA85" s="31">
        <v>4.0513983370276545</v>
      </c>
      <c r="BF85" s="31">
        <v>21.298035281520473</v>
      </c>
      <c r="BG85" s="31">
        <v>3281.6326529924004</v>
      </c>
      <c r="BI85" s="31">
        <v>21.298035281520473</v>
      </c>
      <c r="BJ85" s="31">
        <v>3281.6326529924004</v>
      </c>
      <c r="BN85" s="31">
        <v>0</v>
      </c>
      <c r="BQ85" s="31">
        <v>0</v>
      </c>
    </row>
    <row r="86" spans="49:69" ht="20.25" customHeight="1">
      <c r="AW86" s="31">
        <v>3.3466847712769433E-4</v>
      </c>
      <c r="AX86" s="31">
        <v>4.7330447329446903</v>
      </c>
      <c r="AZ86" s="31">
        <v>3.2569552991654693E-4</v>
      </c>
      <c r="BA86" s="31">
        <v>4.1082022033540735</v>
      </c>
      <c r="BF86" s="31">
        <v>21.368883717824641</v>
      </c>
      <c r="BG86" s="31">
        <v>3327.6437847167995</v>
      </c>
      <c r="BI86" s="31">
        <v>21.368883717824641</v>
      </c>
      <c r="BJ86" s="31">
        <v>3327.6437847167995</v>
      </c>
      <c r="BN86" s="31">
        <v>0</v>
      </c>
      <c r="BQ86" s="31">
        <v>0</v>
      </c>
    </row>
    <row r="87" spans="49:69" ht="20.25" customHeight="1">
      <c r="AW87" s="31">
        <v>3.3561898582870988E-4</v>
      </c>
      <c r="AX87" s="31">
        <v>4.8182505324343206</v>
      </c>
      <c r="AZ87" s="31">
        <v>3.2672149882377285E-4</v>
      </c>
      <c r="BA87" s="31">
        <v>4.1650060696804934</v>
      </c>
      <c r="BF87" s="31">
        <v>21.436197537827734</v>
      </c>
      <c r="BG87" s="31">
        <v>3373.6549164411995</v>
      </c>
      <c r="BI87" s="31">
        <v>21.436197537827734</v>
      </c>
      <c r="BJ87" s="31">
        <v>3373.6549164411995</v>
      </c>
      <c r="BN87" s="31">
        <v>0</v>
      </c>
      <c r="BQ87" s="31">
        <v>0</v>
      </c>
    </row>
    <row r="88" spans="49:69" ht="20.25" customHeight="1">
      <c r="AW88" s="31">
        <v>3.3654354378838099E-4</v>
      </c>
      <c r="AX88" s="31">
        <v>4.9034563319239499</v>
      </c>
      <c r="AZ88" s="31">
        <v>3.2769627402010873E-4</v>
      </c>
      <c r="BA88" s="31">
        <v>4.2218099360069132</v>
      </c>
      <c r="BF88" s="31">
        <v>21.500152538459332</v>
      </c>
      <c r="BG88" s="31">
        <v>3419.6660481655999</v>
      </c>
      <c r="BI88" s="31">
        <v>21.500152538459332</v>
      </c>
      <c r="BJ88" s="31">
        <v>3419.6660481655999</v>
      </c>
      <c r="BN88" s="31">
        <v>0</v>
      </c>
      <c r="BQ88" s="31">
        <v>0</v>
      </c>
    </row>
    <row r="89" spans="49:69" ht="20.25" customHeight="1">
      <c r="AW89" s="31">
        <v>3.374564828661058E-4</v>
      </c>
      <c r="AX89" s="31">
        <v>4.9886621314135793</v>
      </c>
      <c r="AZ89" s="31">
        <v>3.2862265783454962E-4</v>
      </c>
      <c r="BA89" s="31">
        <v>4.2786138023333331</v>
      </c>
      <c r="BF89" s="31">
        <v>21.560932580524803</v>
      </c>
      <c r="BG89" s="31">
        <v>3465.6771798899999</v>
      </c>
      <c r="BI89" s="31">
        <v>21.560932580524803</v>
      </c>
      <c r="BJ89" s="31">
        <v>3465.6771798899999</v>
      </c>
      <c r="BN89" s="31">
        <v>0</v>
      </c>
      <c r="BQ89" s="31">
        <v>0</v>
      </c>
    </row>
    <row r="90" spans="49:69" ht="20.25" customHeight="1">
      <c r="AW90" s="31">
        <v>3.3837275713392595E-4</v>
      </c>
      <c r="AX90" s="31">
        <v>5.0738679309032095</v>
      </c>
      <c r="AZ90" s="31">
        <v>3.2950357550229239E-4</v>
      </c>
      <c r="BA90" s="31">
        <v>4.335417668659753</v>
      </c>
      <c r="BF90" s="31">
        <v>21.618729588705403</v>
      </c>
      <c r="BG90" s="31">
        <v>3511.6883116143999</v>
      </c>
      <c r="BI90" s="31">
        <v>21.618729588705403</v>
      </c>
      <c r="BJ90" s="31">
        <v>3511.6883116143999</v>
      </c>
      <c r="BN90" s="31">
        <v>0</v>
      </c>
      <c r="BQ90" s="31">
        <v>0</v>
      </c>
    </row>
    <row r="91" spans="49:69" ht="20.25" customHeight="1">
      <c r="AW91" s="31">
        <v>3.3930794287652583E-4</v>
      </c>
      <c r="AX91" s="31">
        <v>5.1590737303928389</v>
      </c>
      <c r="AZ91" s="31">
        <v>3.3034207516473464E-4</v>
      </c>
      <c r="BA91" s="31">
        <v>4.3922215349861728</v>
      </c>
      <c r="BF91" s="31">
        <v>21.673743551558239</v>
      </c>
      <c r="BG91" s="31">
        <v>3557.6994433388004</v>
      </c>
      <c r="BI91" s="31">
        <v>21.673743551558239</v>
      </c>
      <c r="BJ91" s="31">
        <v>3557.6994433388004</v>
      </c>
      <c r="BN91" s="31">
        <v>0</v>
      </c>
      <c r="BQ91" s="31">
        <v>0</v>
      </c>
    </row>
    <row r="92" spans="49:69" ht="20.25" customHeight="1">
      <c r="AW92" s="31">
        <v>3.4027823859123364E-4</v>
      </c>
      <c r="AX92" s="31">
        <v>5.2442795298824683</v>
      </c>
      <c r="AZ92" s="31">
        <v>3.3114132786947524E-4</v>
      </c>
      <c r="BA92" s="31">
        <v>4.4490254013125927</v>
      </c>
      <c r="BF92" s="31">
        <v>21.726182521516268</v>
      </c>
      <c r="BG92" s="31">
        <v>3603.7105750631995</v>
      </c>
      <c r="BI92" s="31">
        <v>21.726182521516268</v>
      </c>
      <c r="BJ92" s="31">
        <v>3603.7105750631995</v>
      </c>
      <c r="BN92" s="31">
        <v>0</v>
      </c>
      <c r="BQ92" s="31">
        <v>0</v>
      </c>
    </row>
    <row r="93" spans="49:69" ht="20.25" customHeight="1">
      <c r="AW93" s="31">
        <v>3.4130046498802042E-4</v>
      </c>
      <c r="AX93" s="31">
        <v>5.3294853293720976</v>
      </c>
      <c r="AZ93" s="31">
        <v>3.3190462757031435E-4</v>
      </c>
      <c r="BA93" s="31">
        <v>4.5058292676390126</v>
      </c>
      <c r="BF93" s="31">
        <v>21.776262614888324</v>
      </c>
      <c r="BG93" s="31">
        <v>3649.7217067876004</v>
      </c>
      <c r="BI93" s="31">
        <v>21.776262614888324</v>
      </c>
      <c r="BJ93" s="31">
        <v>3649.7217067876004</v>
      </c>
      <c r="BN93" s="31">
        <v>0</v>
      </c>
      <c r="BQ93" s="31">
        <v>0</v>
      </c>
    </row>
    <row r="94" spans="49:69" ht="20.25" customHeight="1">
      <c r="AW94" s="31">
        <v>3.4239206498950028E-4</v>
      </c>
      <c r="AX94" s="31">
        <v>5.4146911288617279</v>
      </c>
      <c r="AZ94" s="31">
        <v>3.3263539112725283E-4</v>
      </c>
      <c r="BA94" s="31">
        <v>4.5626331339654316</v>
      </c>
      <c r="BF94" s="31">
        <v>21.824208011859056</v>
      </c>
      <c r="BG94" s="31">
        <v>3695.7328385119999</v>
      </c>
      <c r="BI94" s="31">
        <v>21.824208011859056</v>
      </c>
      <c r="BJ94" s="31">
        <v>3695.7328385120004</v>
      </c>
      <c r="BN94" s="31">
        <v>0</v>
      </c>
      <c r="BQ94" s="31">
        <v>0</v>
      </c>
    </row>
    <row r="95" spans="49:69" ht="20.25" customHeight="1">
      <c r="AW95" s="31">
        <v>3.4357110373093105E-4</v>
      </c>
      <c r="AX95" s="31">
        <v>5.4998969283513572</v>
      </c>
      <c r="AZ95" s="31">
        <v>3.3333715830649341E-4</v>
      </c>
      <c r="BA95" s="31">
        <v>4.6194370002918514</v>
      </c>
      <c r="BF95" s="31">
        <v>21.870250956489031</v>
      </c>
      <c r="BG95" s="31">
        <v>3741.743970236399</v>
      </c>
      <c r="BI95" s="31">
        <v>21.870250956489031</v>
      </c>
      <c r="BJ95" s="31">
        <v>3741.7439702363995</v>
      </c>
      <c r="BN95" s="31">
        <v>0</v>
      </c>
      <c r="BQ95" s="31">
        <v>0</v>
      </c>
    </row>
    <row r="96" spans="49:69" ht="20.25" customHeight="1">
      <c r="AW96" s="31">
        <v>3.4485626856021318E-4</v>
      </c>
      <c r="AX96" s="31">
        <v>5.5851027278409866</v>
      </c>
      <c r="AZ96" s="31">
        <v>3.3401359178043908E-4</v>
      </c>
      <c r="BA96" s="31">
        <v>4.6762408666182713</v>
      </c>
      <c r="BF96" s="31">
        <v>21.914631756714609</v>
      </c>
      <c r="BG96" s="31">
        <v>3787.755101960799</v>
      </c>
      <c r="BI96" s="31">
        <v>21.914631756714609</v>
      </c>
      <c r="BJ96" s="31">
        <v>3787.7551019607995</v>
      </c>
      <c r="BN96" s="31">
        <v>0</v>
      </c>
      <c r="BQ96" s="31">
        <v>0</v>
      </c>
    </row>
    <row r="97" spans="49:69" ht="20.25" customHeight="1">
      <c r="AW97" s="31">
        <v>3.4626686903789082E-4</v>
      </c>
      <c r="AX97" s="31">
        <v>5.6703085273306169</v>
      </c>
      <c r="AZ97" s="31">
        <v>3.3466847712769433E-4</v>
      </c>
      <c r="BA97" s="31">
        <v>4.7330447329446912</v>
      </c>
      <c r="BF97" s="31">
        <v>21.957598784348026</v>
      </c>
      <c r="BG97" s="31">
        <v>3833.7662336851999</v>
      </c>
      <c r="BI97" s="31">
        <v>21.957598784348026</v>
      </c>
      <c r="BJ97" s="31">
        <v>3833.7662336852004</v>
      </c>
      <c r="BN97" s="31">
        <v>0</v>
      </c>
      <c r="BQ97" s="31">
        <v>0</v>
      </c>
    </row>
    <row r="98" spans="49:69" ht="20.25" customHeight="1">
      <c r="AW98" s="31">
        <v>3.4782283693715046E-4</v>
      </c>
      <c r="AX98" s="31">
        <v>5.7555143268202462</v>
      </c>
      <c r="AZ98" s="31">
        <v>3.3530572283306515E-4</v>
      </c>
      <c r="BA98" s="31">
        <v>4.7898485992711111</v>
      </c>
      <c r="BF98" s="31">
        <v>21.999408475077406</v>
      </c>
      <c r="BG98" s="31">
        <v>3879.7773654096004</v>
      </c>
      <c r="BI98" s="31">
        <v>21.999408475077406</v>
      </c>
      <c r="BJ98" s="31">
        <v>3879.7773654096004</v>
      </c>
      <c r="BN98" s="31">
        <v>0</v>
      </c>
      <c r="BQ98" s="31">
        <v>0</v>
      </c>
    </row>
    <row r="99" spans="49:69" ht="20.25" customHeight="1">
      <c r="AW99" s="31">
        <v>3.4954472624382335E-4</v>
      </c>
      <c r="AX99" s="31">
        <v>5.8407201263098756</v>
      </c>
      <c r="AZ99" s="31">
        <v>3.3592936028755804E-4</v>
      </c>
      <c r="BA99" s="31">
        <v>4.8466524655975309</v>
      </c>
      <c r="BF99" s="31">
        <v>22.040325328466682</v>
      </c>
      <c r="BG99" s="31">
        <v>3925.7884971339995</v>
      </c>
      <c r="BI99" s="31">
        <v>22.040325328466682</v>
      </c>
      <c r="BJ99" s="31">
        <v>3925.7884971339995</v>
      </c>
      <c r="BN99" s="31">
        <v>0</v>
      </c>
      <c r="BQ99" s="31">
        <v>0</v>
      </c>
    </row>
    <row r="100" spans="49:69" ht="20.25" customHeight="1">
      <c r="AW100" s="31">
        <v>3.514537131563822E-4</v>
      </c>
      <c r="AX100" s="31">
        <v>5.9259259257995058</v>
      </c>
      <c r="AZ100" s="31">
        <v>3.3654354378838099E-4</v>
      </c>
      <c r="BA100" s="31">
        <v>4.9034563319239508</v>
      </c>
      <c r="BF100" s="31">
        <v>22.080621907955674</v>
      </c>
      <c r="BG100" s="31">
        <v>3971.7996288584</v>
      </c>
      <c r="BI100" s="31">
        <v>22.080621907955674</v>
      </c>
      <c r="BJ100" s="31">
        <v>3971.7996288584</v>
      </c>
      <c r="BN100" s="31">
        <v>0</v>
      </c>
      <c r="BQ100" s="31">
        <v>0</v>
      </c>
    </row>
    <row r="101" spans="49:69" ht="20.25" customHeight="1">
      <c r="AW101" s="31">
        <v>3.535715960859445E-4</v>
      </c>
      <c r="AX101" s="31">
        <v>6.0111317252891352</v>
      </c>
      <c r="AZ101" s="31">
        <v>3.3715255053894295E-4</v>
      </c>
      <c r="BA101" s="31">
        <v>4.9602601982503698</v>
      </c>
      <c r="BF101" s="31">
        <v>22.120578840860045</v>
      </c>
      <c r="BG101" s="31">
        <v>4017.8107605828</v>
      </c>
      <c r="BI101" s="31">
        <v>22.120578840860045</v>
      </c>
      <c r="BJ101" s="31">
        <v>4017.8107605828</v>
      </c>
      <c r="BN101" s="31">
        <v>0</v>
      </c>
      <c r="BQ101" s="31">
        <v>0</v>
      </c>
    </row>
    <row r="102" spans="49:69" ht="20.25" customHeight="1">
      <c r="AW102" s="31">
        <v>3.5592079565626995E-4</v>
      </c>
      <c r="AX102" s="31">
        <v>6.0963375247787646</v>
      </c>
      <c r="AZ102" s="31">
        <v>3.3776078064885414E-4</v>
      </c>
      <c r="BA102" s="31">
        <v>5.0170640645767897</v>
      </c>
      <c r="BF102" s="31">
        <v>22.160484818371316</v>
      </c>
      <c r="BG102" s="31">
        <v>4063.8218923072</v>
      </c>
      <c r="BI102" s="31">
        <v>22.160484818371316</v>
      </c>
      <c r="BJ102" s="31">
        <v>4063.8218923072</v>
      </c>
      <c r="BN102" s="31">
        <v>0</v>
      </c>
      <c r="BQ102" s="31">
        <v>0</v>
      </c>
    </row>
    <row r="103" spans="49:69" ht="20.25" customHeight="1">
      <c r="AW103" s="31">
        <v>3.585243547037613E-4</v>
      </c>
      <c r="AX103" s="31">
        <v>6.1815433242683939</v>
      </c>
      <c r="AZ103" s="31">
        <v>3.3837275713392595E-4</v>
      </c>
      <c r="BA103" s="31">
        <v>5.0738679309032095</v>
      </c>
      <c r="BF103" s="31">
        <v>22.200636595556883</v>
      </c>
      <c r="BG103" s="31">
        <v>4109.8330240315991</v>
      </c>
      <c r="BI103" s="31">
        <v>22.200636595556883</v>
      </c>
      <c r="BJ103" s="31">
        <v>4109.8330240315991</v>
      </c>
      <c r="BN103" s="31">
        <v>0</v>
      </c>
      <c r="BQ103" s="31">
        <v>0</v>
      </c>
    </row>
    <row r="104" spans="49:69" ht="20.25" customHeight="1">
      <c r="AW104" s="31">
        <v>3.6140593827746557E-4</v>
      </c>
      <c r="AX104" s="31">
        <v>6.2667491237580242</v>
      </c>
      <c r="AZ104" s="31">
        <v>3.3899312591617039E-4</v>
      </c>
      <c r="BA104" s="31">
        <v>5.1306717972296294</v>
      </c>
      <c r="BF104" s="31">
        <v>22.241338991359939</v>
      </c>
      <c r="BG104" s="31">
        <v>4155.8441557559991</v>
      </c>
      <c r="BI104" s="31">
        <v>22.241338991359939</v>
      </c>
      <c r="BJ104" s="31">
        <v>4155.8441557559991</v>
      </c>
      <c r="BN104" s="31">
        <v>0</v>
      </c>
      <c r="BQ104" s="31">
        <v>0</v>
      </c>
    </row>
    <row r="105" spans="49:69" ht="20.25" customHeight="1">
      <c r="AW105" s="31">
        <v>3.6458983363907174E-4</v>
      </c>
      <c r="AX105" s="31">
        <v>6.3519549232476535</v>
      </c>
      <c r="AZ105" s="31">
        <v>3.3962665582380151E-4</v>
      </c>
      <c r="BA105" s="31">
        <v>5.1874756635560493</v>
      </c>
      <c r="BF105" s="31">
        <v>22.282904888599617</v>
      </c>
      <c r="BG105" s="31">
        <v>4201.8552874804</v>
      </c>
      <c r="BI105" s="31">
        <v>22.282904888599617</v>
      </c>
      <c r="BJ105" s="31">
        <v>4201.8552874804</v>
      </c>
      <c r="BN105" s="31">
        <v>0</v>
      </c>
      <c r="BQ105" s="31">
        <v>0</v>
      </c>
    </row>
    <row r="106" spans="49:69" ht="20.25" customHeight="1">
      <c r="AW106" s="31">
        <v>3.6810095026291339E-4</v>
      </c>
      <c r="AX106" s="31">
        <v>6.4371607227372829</v>
      </c>
      <c r="AZ106" s="31">
        <v>3.4027823859123364E-4</v>
      </c>
      <c r="BA106" s="31">
        <v>5.2442795298824691</v>
      </c>
      <c r="BF106" s="31">
        <v>22.325655233970839</v>
      </c>
      <c r="BG106" s="31">
        <v>4247.8664192048009</v>
      </c>
      <c r="BI106" s="31">
        <v>22.325655233970839</v>
      </c>
      <c r="BJ106" s="31">
        <v>4247.8664192048018</v>
      </c>
      <c r="BN106" s="31">
        <v>0</v>
      </c>
      <c r="BQ106" s="31">
        <v>0</v>
      </c>
    </row>
    <row r="107" spans="49:69" ht="20.25" customHeight="1">
      <c r="AW107" s="31">
        <v>3.7196481983596552E-4</v>
      </c>
      <c r="AX107" s="31">
        <v>6.5223665222269132</v>
      </c>
      <c r="AZ107" s="31">
        <v>3.4095288885908274E-4</v>
      </c>
      <c r="BA107" s="31">
        <v>5.301083396208889</v>
      </c>
      <c r="BF107" s="31">
        <v>22.369919038044419</v>
      </c>
      <c r="BG107" s="31">
        <v>4293.8775509292</v>
      </c>
      <c r="BI107" s="31">
        <v>22.369919038044419</v>
      </c>
      <c r="BJ107" s="31">
        <v>4293.8775509292</v>
      </c>
      <c r="BN107" s="31">
        <v>0</v>
      </c>
      <c r="BQ107" s="31">
        <v>0</v>
      </c>
    </row>
    <row r="108" spans="49:69" ht="20.25" customHeight="1">
      <c r="AW108" s="31">
        <v>3.7620759625784782E-4</v>
      </c>
      <c r="AX108" s="31">
        <v>6.6075723217165425</v>
      </c>
      <c r="AZ108" s="31">
        <v>3.4165574417416571E-4</v>
      </c>
      <c r="BA108" s="31">
        <v>5.3578872625353089</v>
      </c>
      <c r="BF108" s="31">
        <v>22.416033375267009</v>
      </c>
      <c r="BG108" s="31">
        <v>4339.8886826536</v>
      </c>
      <c r="BI108" s="31">
        <v>22.416033375267009</v>
      </c>
      <c r="BJ108" s="31">
        <v>4339.8886826536009</v>
      </c>
      <c r="BN108" s="31">
        <v>0</v>
      </c>
      <c r="BQ108" s="31">
        <v>0</v>
      </c>
    </row>
    <row r="109" spans="49:69" ht="20.25" customHeight="1">
      <c r="AW109" s="31">
        <v>3.8085605564082262E-4</v>
      </c>
      <c r="AX109" s="31">
        <v>6.6927781212061728</v>
      </c>
      <c r="AZ109" s="31">
        <v>3.4239206498950028E-4</v>
      </c>
      <c r="BA109" s="31">
        <v>5.4146911288617279</v>
      </c>
      <c r="BF109" s="31">
        <v>22.464343383961111</v>
      </c>
      <c r="BG109" s="31">
        <v>4385.8998143779991</v>
      </c>
      <c r="BI109" s="31">
        <v>22.464343383961111</v>
      </c>
      <c r="BJ109" s="31">
        <v>4385.8998143779991</v>
      </c>
      <c r="BN109" s="31">
        <v>0</v>
      </c>
      <c r="BQ109" s="31">
        <v>0</v>
      </c>
    </row>
    <row r="110" spans="49:69" ht="20.25" customHeight="1">
      <c r="AW110" s="31">
        <v>3.8593759630979585E-4</v>
      </c>
      <c r="AX110" s="31">
        <v>6.7779839206958012</v>
      </c>
      <c r="AZ110" s="31">
        <v>3.4316723466430612E-4</v>
      </c>
      <c r="BA110" s="31">
        <v>5.4714949951881477</v>
      </c>
      <c r="BF110" s="31">
        <v>22.515202266325122</v>
      </c>
      <c r="BG110" s="31">
        <v>4431.9109461024</v>
      </c>
      <c r="BI110" s="31">
        <v>22.515202266325122</v>
      </c>
      <c r="BJ110" s="31">
        <v>4431.9109461024</v>
      </c>
      <c r="BN110" s="31">
        <v>0</v>
      </c>
      <c r="BQ110" s="31">
        <v>0</v>
      </c>
    </row>
    <row r="111" spans="49:69" ht="20.25" customHeight="1">
      <c r="AW111" s="31">
        <v>3.9148023880231618E-4</v>
      </c>
      <c r="AX111" s="31">
        <v>6.8631897201854315</v>
      </c>
      <c r="AZ111" s="31">
        <v>3.4398675946400341E-4</v>
      </c>
      <c r="BA111" s="31">
        <v>5.5282988615145676</v>
      </c>
      <c r="BF111" s="31">
        <v>22.568971288433264</v>
      </c>
      <c r="BG111" s="31">
        <v>4477.9220778268</v>
      </c>
      <c r="BI111" s="31">
        <v>22.568971288433264</v>
      </c>
      <c r="BJ111" s="31">
        <v>4477.9220778268</v>
      </c>
      <c r="BN111" s="31">
        <v>0</v>
      </c>
      <c r="BQ111" s="31">
        <v>0</v>
      </c>
    </row>
    <row r="112" spans="49:69" ht="20.25" customHeight="1">
      <c r="AW112" s="31">
        <v>3.9751262586857543E-4</v>
      </c>
      <c r="AX112" s="31">
        <v>6.9483955196750617</v>
      </c>
      <c r="AZ112" s="31">
        <v>3.4485626856021318E-4</v>
      </c>
      <c r="BA112" s="31">
        <v>5.5851027278409875</v>
      </c>
      <c r="BF112" s="31">
        <v>22.626019780235584</v>
      </c>
      <c r="BG112" s="31">
        <v>4523.9332095512</v>
      </c>
      <c r="BI112" s="31">
        <v>22.626019780235584</v>
      </c>
      <c r="BJ112" s="31">
        <v>4523.9332095512</v>
      </c>
      <c r="BN112" s="31">
        <v>0</v>
      </c>
      <c r="BQ112" s="31">
        <v>0</v>
      </c>
    </row>
    <row r="113" spans="49:69" ht="20.25" customHeight="1">
      <c r="AW113" s="31">
        <v>4.0406402247140883E-4</v>
      </c>
      <c r="AX113" s="31">
        <v>7.0336013191646902</v>
      </c>
      <c r="AZ113" s="31">
        <v>3.4578151403075836E-4</v>
      </c>
      <c r="BA113" s="31">
        <v>5.6419065941674074</v>
      </c>
      <c r="BF113" s="31">
        <v>22.686725135558053</v>
      </c>
      <c r="BG113" s="31">
        <v>4569.9443412756</v>
      </c>
      <c r="BI113" s="31">
        <v>22.686725135558053</v>
      </c>
      <c r="BJ113" s="31">
        <v>4569.9443412756</v>
      </c>
      <c r="BN113" s="31">
        <v>0</v>
      </c>
      <c r="BQ113" s="31">
        <v>0</v>
      </c>
    </row>
    <row r="114" spans="49:69" ht="20.25" customHeight="1">
      <c r="AW114" s="31">
        <v>4.1116431578629522E-4</v>
      </c>
      <c r="AX114" s="31">
        <v>7.1188071186543205</v>
      </c>
      <c r="AZ114" s="31">
        <v>3.4676837085966233E-4</v>
      </c>
      <c r="BA114" s="31">
        <v>5.6987104604938272</v>
      </c>
      <c r="BF114" s="31">
        <v>22.751472812102442</v>
      </c>
      <c r="BG114" s="31">
        <v>4615.9554730000009</v>
      </c>
      <c r="BI114" s="31">
        <v>22.751472812102442</v>
      </c>
      <c r="BJ114" s="31">
        <v>4615.9554730000009</v>
      </c>
      <c r="BN114" s="31">
        <v>0</v>
      </c>
      <c r="BQ114" s="31">
        <v>0</v>
      </c>
    </row>
  </sheetData>
  <sheetProtection algorithmName="SHA-512" hashValue="+alPMQR8X8aM8O5M8ktXZFivGAGhGbbXigSHq8c+cDeI5V093w2F2ImWg/H9S118/Lw+XggWbQFvqcH+cJY0OA==" saltValue="TtCnqiN1qxyPpGxjjnEKcg==" spinCount="100000" sheet="1" objects="1" scenarios="1"/>
  <phoneticPr fontId="2"/>
  <conditionalFormatting sqref="Z14:Z36">
    <cfRule type="dataBar" priority="2">
      <dataBar>
        <cfvo type="min"/>
        <cfvo type="max"/>
        <color rgb="FF638EC6"/>
      </dataBar>
      <extLst>
        <ext xmlns:x14="http://schemas.microsoft.com/office/spreadsheetml/2009/9/main" uri="{B025F937-C7B1-47D3-B67F-A62EFF666E3E}">
          <x14:id>{2462A734-2A0D-4DB6-835A-EE346499F076}</x14:id>
        </ext>
      </extLst>
    </cfRule>
  </conditionalFormatting>
  <conditionalFormatting sqref="AA14:AA36">
    <cfRule type="dataBar" priority="1">
      <dataBar>
        <cfvo type="min"/>
        <cfvo type="max"/>
        <color rgb="FF63C384"/>
      </dataBar>
      <extLst>
        <ext xmlns:x14="http://schemas.microsoft.com/office/spreadsheetml/2009/9/main" uri="{B025F937-C7B1-47D3-B67F-A62EFF666E3E}">
          <x14:id>{5EFD5081-A458-454C-961C-111F974D8D9C}</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462A734-2A0D-4DB6-835A-EE346499F076}">
            <x14:dataBar minLength="0" maxLength="100" border="1" negativeBarBorderColorSameAsPositive="0">
              <x14:cfvo type="autoMin"/>
              <x14:cfvo type="autoMax"/>
              <x14:borderColor rgb="FF638EC6"/>
              <x14:negativeFillColor rgb="FFFF0000"/>
              <x14:negativeBorderColor rgb="FFFF0000"/>
              <x14:axisColor rgb="FF000000"/>
            </x14:dataBar>
          </x14:cfRule>
          <xm:sqref>Z14:Z36</xm:sqref>
        </x14:conditionalFormatting>
        <x14:conditionalFormatting xmlns:xm="http://schemas.microsoft.com/office/excel/2006/main">
          <x14:cfRule type="dataBar" id="{5EFD5081-A458-454C-961C-111F974D8D9C}">
            <x14:dataBar minLength="0" maxLength="100" border="1" negativeBarBorderColorSameAsPositive="0">
              <x14:cfvo type="autoMin"/>
              <x14:cfvo type="autoMax"/>
              <x14:borderColor rgb="FF63C384"/>
              <x14:negativeFillColor rgb="FFFF0000"/>
              <x14:negativeBorderColor rgb="FFFF0000"/>
              <x14:axisColor rgb="FF000000"/>
            </x14:dataBar>
          </x14:cfRule>
          <xm:sqref>AA14:AA36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78D8E-0545-4A4C-8752-5ABDFC2688FC}">
  <sheetPr codeName="Sheet11">
    <tabColor rgb="FF92D050"/>
  </sheetPr>
  <dimension ref="A1:I69"/>
  <sheetViews>
    <sheetView showGridLines="0" showRowColHeaders="0" workbookViewId="0">
      <selection activeCell="F19" sqref="F19"/>
    </sheetView>
  </sheetViews>
  <sheetFormatPr defaultColWidth="9" defaultRowHeight="18.75"/>
  <cols>
    <col min="1" max="3" width="3.375" customWidth="1"/>
    <col min="4" max="4" width="5.5" bestFit="1" customWidth="1"/>
    <col min="5" max="5" width="21.25" customWidth="1"/>
    <col min="6" max="6" width="125" bestFit="1" customWidth="1"/>
    <col min="7" max="9" width="3.375" customWidth="1"/>
  </cols>
  <sheetData>
    <row r="1" spans="1:6" ht="30">
      <c r="A1" s="250" t="s">
        <v>678</v>
      </c>
    </row>
    <row r="2" spans="1:6">
      <c r="A2" s="59" t="s">
        <v>677</v>
      </c>
    </row>
    <row r="4" spans="1:6">
      <c r="A4" s="248" t="s">
        <v>663</v>
      </c>
    </row>
    <row r="5" spans="1:6">
      <c r="B5" t="s">
        <v>681</v>
      </c>
    </row>
    <row r="6" spans="1:6">
      <c r="B6" t="s">
        <v>688</v>
      </c>
    </row>
    <row r="8" spans="1:6">
      <c r="A8" s="248" t="s">
        <v>664</v>
      </c>
    </row>
    <row r="10" spans="1:6">
      <c r="D10" s="241" t="s">
        <v>665</v>
      </c>
      <c r="E10" s="241" t="s">
        <v>666</v>
      </c>
      <c r="F10" s="241" t="s">
        <v>667</v>
      </c>
    </row>
    <row r="11" spans="1:6">
      <c r="D11">
        <v>1</v>
      </c>
      <c r="E11" s="251" t="s">
        <v>668</v>
      </c>
    </row>
    <row r="12" spans="1:6">
      <c r="D12">
        <f>D11+1</f>
        <v>2</v>
      </c>
      <c r="E12" s="71" t="str">
        <f>入力0!A1</f>
        <v>入力0</v>
      </c>
      <c r="F12" t="str">
        <f>入力0!A2</f>
        <v>建物および2次冷温水配管システムの名称</v>
      </c>
    </row>
    <row r="13" spans="1:6">
      <c r="D13">
        <f t="shared" ref="D13:D20" si="0">D12+1</f>
        <v>3</v>
      </c>
      <c r="E13" s="71" t="str">
        <f>入力1!A1</f>
        <v>入力1</v>
      </c>
      <c r="F13" t="str">
        <f>入力1!A2</f>
        <v>ポンプ特性（特性曲線をサンプリングデータとして読み込む）</v>
      </c>
    </row>
    <row r="14" spans="1:6">
      <c r="D14">
        <f t="shared" si="0"/>
        <v>4</v>
      </c>
      <c r="E14" s="71" t="str">
        <f>入力2!A1</f>
        <v>入力2</v>
      </c>
      <c r="F14" t="str">
        <f>入力2!A2</f>
        <v>ポンプ仕様（製品仕様書の数値を入力する）</v>
      </c>
    </row>
    <row r="15" spans="1:6">
      <c r="D15">
        <f t="shared" si="0"/>
        <v>5</v>
      </c>
      <c r="E15" s="71" t="str">
        <f>入力3!A1</f>
        <v>入力3</v>
      </c>
      <c r="F15" t="str">
        <f>入力3!A2</f>
        <v>ポンプ設計</v>
      </c>
    </row>
    <row r="16" spans="1:6">
      <c r="D16">
        <f t="shared" si="0"/>
        <v>6</v>
      </c>
      <c r="E16" s="71" t="str">
        <f>入力4!A1</f>
        <v>入力4</v>
      </c>
      <c r="F16" t="str">
        <f>入力4!A2</f>
        <v>計算設定</v>
      </c>
    </row>
    <row r="17" spans="4:6">
      <c r="D17">
        <f t="shared" si="0"/>
        <v>7</v>
      </c>
      <c r="E17" s="71" t="str">
        <f>入力5!A1</f>
        <v>入力5</v>
      </c>
      <c r="F17" t="str">
        <f>入力5!A2</f>
        <v>実測値</v>
      </c>
    </row>
    <row r="18" spans="4:6">
      <c r="D18">
        <f t="shared" si="0"/>
        <v>8</v>
      </c>
      <c r="E18" s="252" t="str">
        <f>回帰式の確認!A1</f>
        <v>回帰式の確認</v>
      </c>
      <c r="F18" t="str">
        <f>回帰式の確認!A2</f>
        <v>ポンプ特性の回帰分析結果の妥当性の確認</v>
      </c>
    </row>
    <row r="19" spans="4:6">
      <c r="D19">
        <f t="shared" si="0"/>
        <v>9</v>
      </c>
      <c r="E19" s="252" t="str">
        <f>ポンプ軸動力等の確認!A1</f>
        <v>ポンプ軸動力等の確認</v>
      </c>
      <c r="F19" t="str">
        <f>ポンプ軸動力等の確認!A2</f>
        <v>要求された流量・圧力(10点)での軸動力等の計算精度の確認</v>
      </c>
    </row>
    <row r="20" spans="4:6">
      <c r="D20">
        <f t="shared" si="0"/>
        <v>10</v>
      </c>
      <c r="E20" s="404" t="str">
        <f>任意評定用結果出力!A1</f>
        <v>任意評定用結果出力</v>
      </c>
    </row>
    <row r="21" spans="4:6">
      <c r="D21" s="76">
        <v>11</v>
      </c>
      <c r="E21" s="76" t="s">
        <v>765</v>
      </c>
      <c r="F21" s="76"/>
    </row>
    <row r="22" spans="4:6">
      <c r="D22" t="s">
        <v>715</v>
      </c>
      <c r="E22" s="267" t="s">
        <v>713</v>
      </c>
      <c r="F22" t="str" cm="1">
        <f t="array" aca="1" ref="F22" ca="1">"【操作不要：エラー時の計算過程確認用】"&amp;INDIRECT("'"&amp;E22&amp;"'!A1",TRUE)&amp;"("&amp;INDIRECT("'"&amp;E22&amp;"'!B2",TRUE)&amp;")"</f>
        <v>【操作不要：エラー時の計算過程確認用】ポンプ軸動力等計算過程(サンプリングデータ数の確認と判断)</v>
      </c>
    </row>
    <row r="23" spans="4:6">
      <c r="D23" t="s">
        <v>716</v>
      </c>
      <c r="E23" s="267" t="s">
        <v>714</v>
      </c>
      <c r="F23" t="str" cm="1">
        <f t="array" aca="1" ref="F23" ca="1">"【操作不要：エラー時の計算過程確認用】"&amp;INDIRECT("'"&amp;E23&amp;"'!A1",TRUE)&amp;"("&amp;INDIRECT("'"&amp;E23&amp;"'!B2",TRUE)&amp;")"</f>
        <v>【操作不要：エラー時の計算過程確認用】ポンプ軸動力等計算過程(サンプリングデータの無次元化)</v>
      </c>
    </row>
    <row r="24" spans="4:6">
      <c r="D24" t="s">
        <v>717</v>
      </c>
      <c r="E24" s="267" t="s">
        <v>730</v>
      </c>
      <c r="F24" t="str" cm="1">
        <f t="array" aca="1" ref="F24" ca="1">"【操作不要：エラー時の計算過程確認用】"&amp;INDIRECT("'"&amp;E24&amp;"'!A1",TRUE)&amp;"("&amp;INDIRECT("'"&amp;E24&amp;"'!B2",TRUE)&amp;")"</f>
        <v>【操作不要：エラー時の計算過程確認用】ポンプ軸動力等計算過程(無次元の特性曲線の係数の推定：流量－ポンプ前後差圧特性曲線)</v>
      </c>
    </row>
    <row r="25" spans="4:6">
      <c r="D25" t="s">
        <v>718</v>
      </c>
      <c r="E25" s="267" t="s">
        <v>731</v>
      </c>
      <c r="F25" t="str" cm="1">
        <f t="array" aca="1" ref="F25" ca="1">"【操作不要：エラー時の計算過程確認用】"&amp;INDIRECT("'"&amp;E25&amp;"'!A1",TRUE)&amp;"("&amp;INDIRECT("'"&amp;E25&amp;"'!B2",TRUE)&amp;")"</f>
        <v>【操作不要：エラー時の計算過程確認用】ポンプ軸動力等計算過程(無次元の特性曲線の係数の推定：流量－ポンプ効率特性曲線)</v>
      </c>
    </row>
    <row r="26" spans="4:6">
      <c r="D26" t="s">
        <v>719</v>
      </c>
      <c r="E26" s="267" t="s">
        <v>732</v>
      </c>
      <c r="F26" t="str" cm="1">
        <f t="array" aca="1" ref="F26" ca="1">"【操作不要：エラー時の計算過程確認用】"&amp;INDIRECT("'"&amp;E26&amp;"'!A1",TRUE)&amp;"("&amp;INDIRECT("'"&amp;E26&amp;"'!B2",TRUE)&amp;")"</f>
        <v>【操作不要：エラー時の計算過程確認用】ポンプ軸動力等計算過程(無次元の特性曲線の係数の推定：流量－軸動力特性曲線)</v>
      </c>
    </row>
    <row r="27" spans="4:6">
      <c r="D27" t="s">
        <v>720</v>
      </c>
      <c r="E27" s="267" t="s">
        <v>733</v>
      </c>
      <c r="F27" t="str" cm="1">
        <f t="array" aca="1" ref="F27" ca="1">"【操作不要：エラー時の計算過程確認用】"&amp;INDIRECT("'"&amp;E27&amp;"'!A1",TRUE)&amp;"("&amp;INDIRECT("'"&amp;E27&amp;"'!B2",TRUE)&amp;")"</f>
        <v>【操作不要：エラー時の計算過程確認用】ポンプ軸動力等計算過程(回転数を数値計算で求める（要求条件番号：1）)</v>
      </c>
    </row>
    <row r="28" spans="4:6">
      <c r="D28" t="s">
        <v>721</v>
      </c>
      <c r="E28" s="267" t="s">
        <v>734</v>
      </c>
      <c r="F28" t="str" cm="1">
        <f t="array" aca="1" ref="F28" ca="1">"【操作不要：エラー時の計算過程確認用】"&amp;INDIRECT("'"&amp;E28&amp;"'!A1",TRUE)&amp;"("&amp;INDIRECT("'"&amp;E28&amp;"'!B2",TRUE)&amp;")"</f>
        <v>【操作不要：エラー時の計算過程確認用】ポンプ軸動力等計算過程(回転数を数値計算で求める（要求条件番号：2）)</v>
      </c>
    </row>
    <row r="29" spans="4:6">
      <c r="D29" t="s">
        <v>722</v>
      </c>
      <c r="E29" s="267" t="s">
        <v>735</v>
      </c>
      <c r="F29" t="str" cm="1">
        <f t="array" aca="1" ref="F29" ca="1">"【操作不要：エラー時の計算過程確認用】"&amp;INDIRECT("'"&amp;E29&amp;"'!A1",TRUE)&amp;"("&amp;INDIRECT("'"&amp;E29&amp;"'!B2",TRUE)&amp;")"</f>
        <v>【操作不要：エラー時の計算過程確認用】ポンプ軸動力等計算過程(回転数を数値計算で求める（要求条件番号：3）)</v>
      </c>
    </row>
    <row r="30" spans="4:6">
      <c r="D30" t="s">
        <v>723</v>
      </c>
      <c r="E30" s="267" t="s">
        <v>736</v>
      </c>
      <c r="F30" t="str" cm="1">
        <f t="array" aca="1" ref="F30" ca="1">"【操作不要：エラー時の計算過程確認用】"&amp;INDIRECT("'"&amp;E30&amp;"'!A1",TRUE)&amp;"("&amp;INDIRECT("'"&amp;E30&amp;"'!B2",TRUE)&amp;")"</f>
        <v>【操作不要：エラー時の計算過程確認用】ポンプ軸動力等計算過程(回転数を数値計算で求める（要求条件番号：4）)</v>
      </c>
    </row>
    <row r="31" spans="4:6">
      <c r="D31" t="s">
        <v>724</v>
      </c>
      <c r="E31" s="267" t="s">
        <v>737</v>
      </c>
      <c r="F31" t="str" cm="1">
        <f t="array" aca="1" ref="F31" ca="1">"【操作不要：エラー時の計算過程確認用】"&amp;INDIRECT("'"&amp;E31&amp;"'!A1",TRUE)&amp;"("&amp;INDIRECT("'"&amp;E31&amp;"'!B2",TRUE)&amp;")"</f>
        <v>【操作不要：エラー時の計算過程確認用】ポンプ軸動力等計算過程(回転数を数値計算で求める（要求条件番号：5）)</v>
      </c>
    </row>
    <row r="32" spans="4:6">
      <c r="D32" t="s">
        <v>725</v>
      </c>
      <c r="E32" s="267" t="s">
        <v>738</v>
      </c>
      <c r="F32" t="str" cm="1">
        <f t="array" aca="1" ref="F32" ca="1">"【操作不要：エラー時の計算過程確認用】"&amp;INDIRECT("'"&amp;E32&amp;"'!A1",TRUE)&amp;"("&amp;INDIRECT("'"&amp;E32&amp;"'!B2",TRUE)&amp;")"</f>
        <v>【操作不要：エラー時の計算過程確認用】ポンプ軸動力等計算過程(回転数を数値計算で求める（要求条件番号：6）)</v>
      </c>
    </row>
    <row r="33" spans="1:6">
      <c r="D33" t="s">
        <v>726</v>
      </c>
      <c r="E33" s="267" t="s">
        <v>739</v>
      </c>
      <c r="F33" t="str" cm="1">
        <f t="array" aca="1" ref="F33" ca="1">"【操作不要：エラー時の計算過程確認用】"&amp;INDIRECT("'"&amp;E33&amp;"'!A1",TRUE)&amp;"("&amp;INDIRECT("'"&amp;E33&amp;"'!B2",TRUE)&amp;")"</f>
        <v>【操作不要：エラー時の計算過程確認用】ポンプ軸動力等計算過程(回転数を数値計算で求める（要求条件番号：7）)</v>
      </c>
    </row>
    <row r="34" spans="1:6">
      <c r="D34" t="s">
        <v>727</v>
      </c>
      <c r="E34" s="267" t="s">
        <v>740</v>
      </c>
      <c r="F34" t="str" cm="1">
        <f t="array" aca="1" ref="F34" ca="1">"【操作不要：エラー時の計算過程確認用】"&amp;INDIRECT("'"&amp;E34&amp;"'!A1",TRUE)&amp;"("&amp;INDIRECT("'"&amp;E34&amp;"'!B2",TRUE)&amp;")"</f>
        <v>【操作不要：エラー時の計算過程確認用】ポンプ軸動力等計算過程(回転数を数値計算で求める（要求条件番号：8）)</v>
      </c>
    </row>
    <row r="35" spans="1:6">
      <c r="D35" t="s">
        <v>728</v>
      </c>
      <c r="E35" s="267" t="s">
        <v>741</v>
      </c>
      <c r="F35" t="str" cm="1">
        <f t="array" aca="1" ref="F35" ca="1">"【操作不要：エラー時の計算過程確認用】"&amp;INDIRECT("'"&amp;E35&amp;"'!A1",TRUE)&amp;"("&amp;INDIRECT("'"&amp;E35&amp;"'!B2",TRUE)&amp;")"</f>
        <v>【操作不要：エラー時の計算過程確認用】ポンプ軸動力等計算過程(回転数を数値計算で求める（要求条件番号：9）)</v>
      </c>
    </row>
    <row r="36" spans="1:6">
      <c r="D36" t="s">
        <v>729</v>
      </c>
      <c r="E36" s="267" t="s">
        <v>742</v>
      </c>
      <c r="F36" t="str" cm="1">
        <f t="array" aca="1" ref="F36" ca="1">"【操作不要：エラー時の計算過程確認用】"&amp;INDIRECT("'"&amp;E36&amp;"'!A1",TRUE)&amp;"("&amp;INDIRECT("'"&amp;E36&amp;"'!B2",TRUE)&amp;")"</f>
        <v>【操作不要：エラー時の計算過程確認用】ポンプ軸動力等計算過程(回転数を数値計算で求める（要求条件番号：10）)</v>
      </c>
    </row>
    <row r="37" spans="1:6">
      <c r="D37" t="s">
        <v>745</v>
      </c>
      <c r="E37" s="267" t="s">
        <v>743</v>
      </c>
      <c r="F37" t="str" cm="1">
        <f t="array" aca="1" ref="F37" ca="1">"【操作不要：エラー時の計算過程確認用】"&amp;INDIRECT("'"&amp;E37&amp;"'!A1",TRUE)&amp;"("&amp;INDIRECT("'"&amp;E37&amp;"'!B2",TRUE)&amp;")"</f>
        <v>【操作不要：エラー時の計算過程確認用】ポンプ軸動力等計算過程(軸動力の計算)</v>
      </c>
    </row>
    <row r="38" spans="1:6">
      <c r="D38" t="s">
        <v>746</v>
      </c>
      <c r="E38" s="267" t="s">
        <v>744</v>
      </c>
      <c r="F38" t="str" cm="1">
        <f t="array" aca="1" ref="F38" ca="1">"【操作不要：エラー時の計算過程確認用】"&amp;INDIRECT("'"&amp;E38&amp;"'!A1",TRUE)&amp;"("&amp;INDIRECT("'"&amp;E38&amp;"'!B2",TRUE)&amp;")"</f>
        <v>【操作不要：エラー時の計算過程確認用】ポンプ軸動力等計算過程(消費電力の計算)</v>
      </c>
    </row>
    <row r="40" spans="1:6">
      <c r="A40" s="248" t="s">
        <v>662</v>
      </c>
    </row>
    <row r="41" spans="1:6">
      <c r="B41" t="s">
        <v>467</v>
      </c>
      <c r="C41" t="s">
        <v>676</v>
      </c>
    </row>
    <row r="42" spans="1:6">
      <c r="C42" s="71"/>
      <c r="D42" s="71"/>
      <c r="E42" t="s">
        <v>466</v>
      </c>
    </row>
    <row r="44" spans="1:6">
      <c r="B44" t="s">
        <v>468</v>
      </c>
      <c r="C44" t="str">
        <f>"「"&amp;E18&amp;"」,「"&amp;E19&amp;"」シートで"</f>
        <v>「回帰式の確認」,「ポンプ軸動力等の確認」シートで</v>
      </c>
    </row>
    <row r="45" spans="1:6">
      <c r="C45" t="s">
        <v>469</v>
      </c>
    </row>
    <row r="47" spans="1:6">
      <c r="B47" t="s">
        <v>470</v>
      </c>
      <c r="C47" t="str">
        <f>"「"&amp;E20&amp;"」シートをPDF出力（注3）する事により"</f>
        <v>「任意評定用結果出力」シートをPDF出力（注3）する事により</v>
      </c>
    </row>
    <row r="48" spans="1:6">
      <c r="C48" t="s">
        <v>471</v>
      </c>
    </row>
    <row r="52" spans="1:9">
      <c r="A52" s="248" t="s">
        <v>660</v>
      </c>
      <c r="B52" s="248"/>
    </row>
    <row r="53" spans="1:9">
      <c r="B53" s="230" t="s">
        <v>687</v>
      </c>
    </row>
    <row r="54" spans="1:9">
      <c r="C54" s="274" t="s">
        <v>341</v>
      </c>
      <c r="D54" s="274"/>
      <c r="E54" s="274"/>
      <c r="F54" s="274"/>
      <c r="G54" s="274"/>
      <c r="H54" s="274"/>
      <c r="I54" s="274"/>
    </row>
    <row r="55" spans="1:9">
      <c r="B55" s="230" t="s">
        <v>690</v>
      </c>
      <c r="C55" s="51"/>
    </row>
    <row r="56" spans="1:9">
      <c r="C56" s="275" t="s">
        <v>680</v>
      </c>
      <c r="D56" s="275"/>
      <c r="E56" s="275"/>
      <c r="F56" s="275"/>
      <c r="G56" s="275"/>
      <c r="H56" s="275"/>
      <c r="I56" s="275"/>
    </row>
    <row r="57" spans="1:9">
      <c r="C57" s="275"/>
      <c r="D57" s="275"/>
      <c r="E57" s="275"/>
      <c r="F57" s="275"/>
      <c r="G57" s="275"/>
      <c r="H57" s="275"/>
      <c r="I57" s="275"/>
    </row>
    <row r="58" spans="1:9">
      <c r="C58" s="247"/>
      <c r="D58" s="247"/>
      <c r="E58" s="247"/>
      <c r="F58" s="247"/>
      <c r="G58" s="247"/>
      <c r="H58" s="247"/>
      <c r="I58" s="247"/>
    </row>
    <row r="59" spans="1:9">
      <c r="A59" s="248" t="s">
        <v>661</v>
      </c>
      <c r="B59" s="249"/>
    </row>
    <row r="60" spans="1:9">
      <c r="B60" s="230" t="s">
        <v>689</v>
      </c>
      <c r="C60" s="51"/>
    </row>
    <row r="61" spans="1:9">
      <c r="C61" s="274" t="s">
        <v>346</v>
      </c>
      <c r="D61" s="274"/>
      <c r="E61" s="274"/>
      <c r="F61" s="274"/>
      <c r="G61" s="274"/>
      <c r="H61" s="274"/>
      <c r="I61" s="274"/>
    </row>
    <row r="62" spans="1:9">
      <c r="B62" s="52"/>
      <c r="C62" s="51"/>
    </row>
    <row r="63" spans="1:9">
      <c r="A63" s="248" t="s">
        <v>682</v>
      </c>
      <c r="B63" s="248"/>
    </row>
    <row r="64" spans="1:9">
      <c r="B64" t="s">
        <v>684</v>
      </c>
    </row>
    <row r="65" spans="2:3">
      <c r="C65" t="s">
        <v>711</v>
      </c>
    </row>
    <row r="66" spans="2:3">
      <c r="C66" t="s">
        <v>683</v>
      </c>
    </row>
    <row r="67" spans="2:3">
      <c r="B67" t="s">
        <v>685</v>
      </c>
    </row>
    <row r="68" spans="2:3">
      <c r="C68" t="s">
        <v>712</v>
      </c>
    </row>
    <row r="69" spans="2:3">
      <c r="C69" t="s">
        <v>686</v>
      </c>
    </row>
  </sheetData>
  <sheetProtection algorithmName="SHA-512" hashValue="m9RfzbZ/5KkLt7O3SIg3VkjkvtXZYudfQUVrRzsRGm+BVq2CRJKVrbCImH2MdT81OGXJS4QyeVRK8ToFK/0djA==" saltValue="rj6QVcBAIZzZ3yUYhI1vig==" spinCount="100000" sheet="1" objects="1" scenarios="1"/>
  <mergeCells count="3">
    <mergeCell ref="C54:I54"/>
    <mergeCell ref="C56:I57"/>
    <mergeCell ref="C61:I61"/>
  </mergeCells>
  <phoneticPr fontId="2"/>
  <hyperlinks>
    <hyperlink ref="C54" r:id="rId1" xr:uid="{76FD306B-D4BB-4A45-95B8-4EFCAAACB924}"/>
    <hyperlink ref="C61" r:id="rId2" xr:uid="{0F48B94D-A52F-4864-9893-3876FF39F9B4}"/>
    <hyperlink ref="C56" r:id="rId3" display="https://support.microsoft.com/ja-jp/office/%E4%BD%BF%E7%94%A8%E3%81%97%E3%81%A6%E3%81%84%E3%82%8B-office-%E3%81%AE%E3%83%90%E3%83%BC%E3%82%B8%E3%83%A7%E3%83%B3%E3%82%92%E7%A2%BA%E8%AA%8D%E3%81%99%E3%82%8B%E6%96%B9%E6%B3%95-932788b8-a3ce-44bf-bb09-e334518b8b19" xr:uid="{15442781-DFC4-4C7E-8E86-E33A2362CB49}"/>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5A73C-671B-45BF-BFE5-2ECD13BC0B45}">
  <sheetPr codeName="Sheet10">
    <tabColor theme="0" tint="-0.499984740745262"/>
  </sheetPr>
  <dimension ref="A1:AZ115"/>
  <sheetViews>
    <sheetView showGridLines="0" workbookViewId="0"/>
  </sheetViews>
  <sheetFormatPr defaultColWidth="3.375" defaultRowHeight="20.25" customHeight="1"/>
  <cols>
    <col min="1" max="2" width="3.375" style="31"/>
    <col min="3" max="3" width="27.75" style="31" bestFit="1" customWidth="1"/>
    <col min="4" max="4" width="10" style="31" bestFit="1" customWidth="1"/>
    <col min="5" max="5" width="3.75" style="31" bestFit="1" customWidth="1"/>
    <col min="6" max="9" width="3.375" style="31"/>
    <col min="10" max="10" width="38.75" style="31" bestFit="1" customWidth="1"/>
    <col min="11" max="11" width="9.375" style="31" customWidth="1"/>
    <col min="12" max="12" width="5.375" style="31" bestFit="1" customWidth="1"/>
    <col min="13" max="14" width="3.375" style="31"/>
    <col min="15" max="15" width="3.75" style="31" bestFit="1" customWidth="1"/>
    <col min="16" max="16" width="3.75" style="31" customWidth="1"/>
    <col min="17" max="17" width="27.625" style="31" bestFit="1" customWidth="1"/>
    <col min="18" max="18" width="15.875" style="31" customWidth="1"/>
    <col min="19" max="22" width="3.75" style="31" customWidth="1"/>
    <col min="23" max="25" width="3.375" style="31"/>
    <col min="26" max="26" width="21.375" style="31" bestFit="1" customWidth="1"/>
    <col min="27" max="27" width="21" style="31" bestFit="1" customWidth="1"/>
    <col min="28" max="28" width="3.75" style="31" bestFit="1" customWidth="1"/>
    <col min="29" max="42" width="3.375" style="31"/>
    <col min="43" max="44" width="8.125" style="31" customWidth="1"/>
    <col min="45" max="45" width="3.375" style="31" customWidth="1"/>
    <col min="46" max="47" width="8.125" style="31" customWidth="1"/>
    <col min="48" max="49" width="3.375" style="31"/>
    <col min="50" max="50" width="13.125" style="31" bestFit="1" customWidth="1"/>
    <col min="51" max="51" width="13.25" style="31" customWidth="1"/>
    <col min="52" max="52" width="4.25" style="31" bestFit="1" customWidth="1"/>
    <col min="53" max="16384" width="3.375" style="31"/>
  </cols>
  <sheetData>
    <row r="1" spans="1:52" s="40" customFormat="1" ht="20.25" customHeight="1">
      <c r="A1" s="40" t="s">
        <v>509</v>
      </c>
    </row>
    <row r="2" spans="1:52" s="40" customFormat="1" ht="30">
      <c r="B2" s="41" t="str">
        <f ca="1">_xlfn.LET(
    _xlpm._header, "回転数を数値計算で求める",
    _xlpm._numbering, IFERROR(K8,K9),
    _xlpm._header &amp; "（要求条件番号：" &amp; _xlpm._numbering &amp; "）"
)</f>
        <v>回転数を数値計算で求める（要求条件番号：1）</v>
      </c>
    </row>
    <row r="3" spans="1:52" s="39" customFormat="1" ht="7.5" customHeight="1"/>
    <row r="5" spans="1:52" ht="20.25" customHeight="1">
      <c r="B5" s="31" t="s">
        <v>102</v>
      </c>
      <c r="G5" s="31" t="s">
        <v>101</v>
      </c>
      <c r="N5" s="31" t="s">
        <v>303</v>
      </c>
    </row>
    <row r="6" spans="1:52" ht="20.25" customHeight="1">
      <c r="C6" s="31" t="s">
        <v>302</v>
      </c>
      <c r="D6" s="31">
        <f ca="1">AY7</f>
        <v>13.807193040847778</v>
      </c>
      <c r="E6" s="31" t="s">
        <v>104</v>
      </c>
      <c r="H6" s="31" t="s">
        <v>99</v>
      </c>
      <c r="O6" s="31" t="s">
        <v>301</v>
      </c>
      <c r="V6" s="31" t="s">
        <v>300</v>
      </c>
      <c r="AW6" s="31" t="s">
        <v>299</v>
      </c>
    </row>
    <row r="7" spans="1:52" ht="20.25" customHeight="1">
      <c r="I7" s="31" t="s">
        <v>343</v>
      </c>
      <c r="AX7" s="33" t="s">
        <v>266</v>
      </c>
      <c r="AY7" s="31">
        <f ca="1">_xlfn.LET(
    _xlpm._N_bisection, AA36,
    _xlpm._N_initial, AA32,
    _xlpm._initial_values_are_invalid, AA30,
    _xlpm._m_c_is_out_of_range, NOT(R24),
    _xlpm._N_initial_is_one_of_the_roots, AA31,
    _xlpm._converged, AA35,
    IF(
        OR(
            _xlpm._initial_values_are_invalid,
            _xlpm._m_c_is_out_of_range
        ),
        NA(),
        IF(
            _xlpm._N_initial_is_one_of_the_roots,
            _xlpm._N_initial,
            IF(_xlpm._converged, _xlpm._N_bisection, NA())
        )
    )
)</f>
        <v>13.807193040847778</v>
      </c>
      <c r="AZ7" s="31" t="s">
        <v>104</v>
      </c>
    </row>
    <row r="8" spans="1:52" ht="20.25" customHeight="1">
      <c r="J8" s="33" t="s">
        <v>344</v>
      </c>
      <c r="K8" s="53" cm="1">
        <f t="array" aca="1" ref="K8" ca="1">_xlfn.LET(
    _xlpm._name_sheet, _xlfn.TEXTAFTER(
        _xlfn.TAKE(_xlfn.TEXTSPLIT( CELL("filename",A1), , "\"), -1),
        "]"
    ),
   VALUE(_xlfn.TEXTAFTER(_xlpm._name_sheet, "_"))
)</f>
        <v>1</v>
      </c>
    </row>
    <row r="9" spans="1:52" ht="20.25" customHeight="1">
      <c r="J9" s="33" t="s">
        <v>345</v>
      </c>
      <c r="K9" s="32">
        <v>1</v>
      </c>
      <c r="Q9" s="33" t="s">
        <v>295</v>
      </c>
      <c r="R9" s="31">
        <f ca="1">_xlfn.LET(
    _xlpm._m_c, K10,
    _xlpm._rho, K13,
    _xlpm._N_r, K21,
    _xlpm._D, K20,
    _xlpm._m_c * _xlpm._rho ^ -1 * _xlpm._N_r ^ -1 * _xlpm._D ^ -3
)</f>
        <v>1.5740740740740742</v>
      </c>
      <c r="S9" s="31" t="s">
        <v>84</v>
      </c>
    </row>
    <row r="10" spans="1:52" ht="20.25" customHeight="1">
      <c r="J10" s="33" t="s">
        <v>298</v>
      </c>
      <c r="K10" s="32" cm="1">
        <f t="array" aca="1" ref="K10" ca="1">_xlfn.LET(
    _xlpm._m_c,_xlfn.ANCHORARRAY( prm!A5),
    _xlpm._numbering, IFERROR(K8,K9),
    INDEX(_xlpm._m_c, _xlpm._numbering)
)</f>
        <v>1275</v>
      </c>
      <c r="L10" s="31" t="s">
        <v>92</v>
      </c>
      <c r="AR10" s="48" t="s">
        <v>210</v>
      </c>
    </row>
    <row r="11" spans="1:52" ht="20.25" customHeight="1">
      <c r="J11" s="33" t="s">
        <v>297</v>
      </c>
      <c r="K11" s="32" cm="1">
        <f t="array" aca="1" ref="K11" ca="1">_xlfn.LET(
    _xlpm._dP_c,_xlfn.ANCHORARRAY( prm!B5),
    _xlpm._numbering, IFERROR(K8,K9),
    INDEX(_xlpm._dP_c, _xlpm._numbering)
)</f>
        <v>66.951999999999984</v>
      </c>
      <c r="L11" s="31" t="s">
        <v>296</v>
      </c>
      <c r="P11" s="31" t="s">
        <v>294</v>
      </c>
      <c r="AR11" s="32">
        <v>1</v>
      </c>
      <c r="AT11" s="31" t="s">
        <v>336</v>
      </c>
    </row>
    <row r="12" spans="1:52" ht="20.25" customHeight="1">
      <c r="I12" s="31" t="s">
        <v>342</v>
      </c>
      <c r="J12" s="33"/>
      <c r="K12" s="33"/>
      <c r="L12" s="33"/>
      <c r="AQ12" s="37" t="s">
        <v>202</v>
      </c>
      <c r="AR12" s="37" t="s">
        <v>201</v>
      </c>
      <c r="AT12" s="37" t="s">
        <v>202</v>
      </c>
      <c r="AU12" s="37" t="s">
        <v>201</v>
      </c>
    </row>
    <row r="13" spans="1:52" ht="20.25" customHeight="1">
      <c r="J13" s="33" t="s">
        <v>115</v>
      </c>
      <c r="K13" s="32">
        <f>10^3</f>
        <v>1000</v>
      </c>
      <c r="L13" s="31" t="s">
        <v>114</v>
      </c>
      <c r="AQ13" s="47" t="s">
        <v>335</v>
      </c>
      <c r="AR13" s="47" t="s">
        <v>334</v>
      </c>
      <c r="AT13" s="47" t="s">
        <v>335</v>
      </c>
      <c r="AU13" s="47" t="s">
        <v>334</v>
      </c>
    </row>
    <row r="14" spans="1:52" ht="20.25" customHeight="1">
      <c r="J14" s="33"/>
      <c r="AQ14" s="35" t="s">
        <v>84</v>
      </c>
      <c r="AR14" s="35" t="s">
        <v>84</v>
      </c>
      <c r="AT14" s="35" t="s">
        <v>84</v>
      </c>
      <c r="AU14" s="35" t="s">
        <v>84</v>
      </c>
    </row>
    <row r="15" spans="1:52" ht="20.25" customHeight="1">
      <c r="I15" s="31" t="s">
        <v>529</v>
      </c>
      <c r="X15" s="31" t="s">
        <v>293</v>
      </c>
      <c r="AQ15" s="31" cm="1">
        <f t="array" aca="1" ref="AQ15:AQ115" ca="1">_xlfn.LET(
    _xlpm._coefficient, TRANSPOSE(AA17:AA21),
    _xlpm._values_N,_xlfn.ANCHORARRAY( AR15),
    _xlfn.MAP(
        _xlpm._values_N,
        _xlfn.LAMBDA(_xlpm._N,
            SUM(
                _xlpm._coefficient *
                    _xlfn.HSTACK(_xlpm._N ^ {4,3,2,1}, 1)
            )
        )
    )
)</f>
        <v>-11647.128076881776</v>
      </c>
      <c r="AR15" s="31" cm="1">
        <f t="array" ref="AR15:AR115">_xlfn.LET(
    _xlpm._number_divisions, 100,
    _xlpm._rate_extrapolation, AR11,
    _xlpm._N0, AA24,
    _xlpm._N1, AA25,
    _xlpm._extrapolation, (_xlpm._N1 - _xlpm._N0) * _xlpm._rate_extrapolation,
    ((_xlpm._N1 - _xlpm._N0) + _xlpm._extrapolation) / _xlpm._number_divisions *
        (_xlfn.SEQUENCE(_xlpm._number_divisions + 1) - 1) + _xlpm._N0 -
        _xlpm._extrapolation / 2
)</f>
        <v>-6</v>
      </c>
      <c r="AT15" s="31" cm="1">
        <f t="array" aca="1" ref="AT15:AT115" ca="1">_xlfn.LET(
    _xlpm._coefficient, TRANSPOSE(AA17:AA21),
    _xlpm._values_N,_xlfn.ANCHORARRAY( AU15),
    _xlfn.MAP(
        _xlpm._values_N,
        _xlfn.LAMBDA(_xlpm._N,
            SUM(
                _xlpm._coefficient *
                    _xlfn.HSTACK(_xlpm._N ^ {4,3,2,1}, 1)
            )
        )
    )
)</f>
        <v>-2895.7114894779465</v>
      </c>
      <c r="AU15" s="31" cm="1">
        <f t="array" ref="AU15:AU115">_xlfn.LET(
    _xlpm._number_divisions, 100,
    _xlpm._N0, AA24,
    _xlpm._N1, AA25,
    (_xlpm._N1 - _xlpm._N0) / _xlpm._number_divisions *
        (_xlfn.SEQUENCE(_xlpm._number_divisions + 1) - 1) + _xlpm._N0
)</f>
        <v>6</v>
      </c>
    </row>
    <row r="16" spans="1:52" ht="20.25" customHeight="1">
      <c r="J16" s="33" t="s">
        <v>530</v>
      </c>
      <c r="K16" s="32">
        <f>'C1'!E14</f>
        <v>1.832382785185185E-2</v>
      </c>
      <c r="L16" s="31" t="s">
        <v>5</v>
      </c>
      <c r="Y16" s="31" t="s">
        <v>292</v>
      </c>
      <c r="AQ16" s="31">
        <f ca="1"/>
        <v>-10684.622703311046</v>
      </c>
      <c r="AR16" s="31">
        <v>-5.52</v>
      </c>
      <c r="AT16" s="31">
        <f ca="1"/>
        <v>-3006.7648016652925</v>
      </c>
      <c r="AU16" s="31">
        <v>6.24</v>
      </c>
    </row>
    <row r="17" spans="9:47" ht="20.25" customHeight="1">
      <c r="J17" s="33" t="s">
        <v>531</v>
      </c>
      <c r="K17" s="32">
        <f>'C1'!E15</f>
        <v>5.6803866333333337</v>
      </c>
      <c r="L17" s="31" t="s">
        <v>5</v>
      </c>
      <c r="Q17" s="33" t="s">
        <v>291</v>
      </c>
      <c r="R17" s="31">
        <f>_xlfn.LET(
    _xlpm._rho, K13,
    _xlpm._N_r, K21,
    _xlpm._D, K20,
    _xlpm._C_f_p, K33,
    _xlpm._C_f_min_sample, K16,
    _xlpm._local_maximum_exists, K32,
    IF(
        _xlpm._local_maximum_exists,
        _xlpm._C_f_p,
        _xlpm._C_f_min_sample
    )
)</f>
        <v>0.28465364146978933</v>
      </c>
      <c r="S17" s="31" t="s">
        <v>84</v>
      </c>
      <c r="Z17" s="33" t="s">
        <v>290</v>
      </c>
      <c r="AA17" s="31">
        <f>_xlfn.LET(
    _xlpm._alpha_5, K30,
    _xlpm._rho, K13,
    _xlpm._D, K20,
    _xlpm._rho * _xlpm._D ^ 2 * _xlpm._alpha_5 * 10 ^ -3
)</f>
        <v>0.48332932491123698</v>
      </c>
      <c r="AQ17" s="31">
        <f ca="1"/>
        <v>-9751.2039483762601</v>
      </c>
      <c r="AR17" s="31">
        <v>-5.04</v>
      </c>
      <c r="AT17" s="31">
        <f ca="1"/>
        <v>-3119.0636601902747</v>
      </c>
      <c r="AU17" s="31">
        <v>6.48</v>
      </c>
    </row>
    <row r="18" spans="9:47" ht="20.25" customHeight="1">
      <c r="Z18" s="33" t="s">
        <v>288</v>
      </c>
      <c r="AA18" s="31">
        <f ca="1">_xlfn.LET(
    _xlpm._alpha_4, K29,
    _xlpm._m_c, K10,
    _xlpm._D, K20,
    _xlpm._alpha_4 * _xlpm._m_c * _xlpm._D ^ -1 * 10 ^ -3
)</f>
        <v>0.78908194487772298</v>
      </c>
      <c r="AQ18" s="31">
        <f ca="1"/>
        <v>-8853.1216978158282</v>
      </c>
      <c r="AR18" s="31">
        <v>-4.5600000000000005</v>
      </c>
      <c r="AT18" s="31">
        <f ca="1"/>
        <v>-3231.52274447421</v>
      </c>
      <c r="AU18" s="31">
        <v>6.72</v>
      </c>
    </row>
    <row r="19" spans="9:47" ht="20.25" customHeight="1">
      <c r="I19" s="31" t="s">
        <v>112</v>
      </c>
      <c r="J19" s="33"/>
      <c r="Z19" s="33" t="s">
        <v>286</v>
      </c>
      <c r="AA19" s="31">
        <f ca="1">_xlfn.LET(
    _xlpm._alpha_3, K28,
    _xlpm._m_c, K10,
    _xlpm._rho, K13,
    _xlpm._D, K20,
    _xlpm._dP_c, K11,
    _xlpm._alpha_3 * _xlpm._m_c ^ 2 * 10 ^ -3 * _xlpm._rho ^ -1 * _xlpm._D ^ -4 - _xlpm._dP_c
)</f>
        <v>-138.52959148807784</v>
      </c>
      <c r="AQ19" s="31">
        <f ca="1"/>
        <v>-7996.010066218967</v>
      </c>
      <c r="AR19" s="31">
        <v>-4.08</v>
      </c>
      <c r="AT19" s="31">
        <f ca="1"/>
        <v>-3343.0182482415908</v>
      </c>
      <c r="AU19" s="31">
        <v>6.96</v>
      </c>
    </row>
    <row r="20" spans="9:47" ht="20.25" customHeight="1">
      <c r="J20" s="33" t="s">
        <v>111</v>
      </c>
      <c r="K20" s="32">
        <v>0.3</v>
      </c>
      <c r="L20" s="31" t="s">
        <v>110</v>
      </c>
      <c r="Z20" s="33" t="s">
        <v>285</v>
      </c>
      <c r="AA20" s="31">
        <f ca="1">_xlfn.LET(
    _xlpm._alpha_2, K27,
    _xlpm._m_c, K10,
    _xlpm._rho, K13,
    _xlpm._D, K20,
    _xlpm._alpha_2 * _xlpm._m_c ^ 3 * 10 ^ -3 * _xlpm._rho ^ -2 * _xlpm._D ^ -7
)</f>
        <v>700.87776560138786</v>
      </c>
      <c r="AQ20" s="31">
        <f ca="1"/>
        <v>-7184.88739702571</v>
      </c>
      <c r="AR20" s="31">
        <v>-3.5999999999999996</v>
      </c>
      <c r="AT20" s="31">
        <f ca="1"/>
        <v>-3452.3878795200858</v>
      </c>
      <c r="AU20" s="31">
        <v>7.2</v>
      </c>
    </row>
    <row r="21" spans="9:47" ht="20.25" customHeight="1">
      <c r="J21" s="33" t="s">
        <v>105</v>
      </c>
      <c r="K21" s="32">
        <f>prm!D5</f>
        <v>30</v>
      </c>
      <c r="L21" s="31" t="s">
        <v>104</v>
      </c>
      <c r="Q21" s="33" t="s">
        <v>283</v>
      </c>
      <c r="R21" s="31">
        <f>K17</f>
        <v>5.6803866333333337</v>
      </c>
      <c r="S21" s="31" t="s">
        <v>84</v>
      </c>
      <c r="Z21" s="33" t="s">
        <v>282</v>
      </c>
      <c r="AA21" s="31">
        <f ca="1">_xlfn.LET(
    _xlpm._alpha_1, K26,
    _xlpm._m_c, K10,
    _xlpm._rho, K13,
    _xlpm._D, K20,
    _xlpm._alpha_1 * _xlpm._m_c ^ 4 * 10 ^ -3 * _xlpm._rho ^ -3 * _xlpm._D ^ -10
)</f>
        <v>-2910.7492946940224</v>
      </c>
      <c r="AQ21" s="31">
        <f ca="1"/>
        <v>-6424.156262526898</v>
      </c>
      <c r="AR21" s="31">
        <v>-3.120000000000001</v>
      </c>
      <c r="AT21" s="31">
        <f ca="1"/>
        <v>-3558.430860640537</v>
      </c>
      <c r="AU21" s="31">
        <v>7.4399999999999995</v>
      </c>
    </row>
    <row r="22" spans="9:47" ht="20.25" customHeight="1">
      <c r="J22" s="33" t="s">
        <v>289</v>
      </c>
      <c r="K22" s="32">
        <f>prm!E5</f>
        <v>0.2</v>
      </c>
      <c r="L22" s="31" t="s">
        <v>84</v>
      </c>
      <c r="Z22" s="33"/>
      <c r="AQ22" s="31">
        <f ca="1"/>
        <v>-5717.6034638641695</v>
      </c>
      <c r="AR22" s="31">
        <v>-2.6400000000000006</v>
      </c>
      <c r="AT22" s="31">
        <f ca="1"/>
        <v>-3659.9079282369653</v>
      </c>
      <c r="AU22" s="31">
        <v>7.68</v>
      </c>
    </row>
    <row r="23" spans="9:47" ht="20.25" customHeight="1">
      <c r="J23" s="33" t="s">
        <v>287</v>
      </c>
      <c r="K23" s="32">
        <f>prm!F5</f>
        <v>1</v>
      </c>
      <c r="L23" s="31" t="s">
        <v>84</v>
      </c>
      <c r="P23" s="31" t="s">
        <v>281</v>
      </c>
      <c r="Y23" s="31" t="s">
        <v>280</v>
      </c>
      <c r="AQ23" s="31">
        <f ca="1"/>
        <v>-5068.4000310299871</v>
      </c>
      <c r="AR23" s="31">
        <v>-2.16</v>
      </c>
      <c r="AT23" s="31">
        <f ca="1"/>
        <v>-3755.5413332465646</v>
      </c>
      <c r="AU23" s="31">
        <v>7.92</v>
      </c>
    </row>
    <row r="24" spans="9:47" ht="20.25" customHeight="1">
      <c r="Q24" s="33" t="s">
        <v>279</v>
      </c>
      <c r="R24" s="31" t="b">
        <f ca="1">_xlfn.LET(
    _xlpm._C_f_c, R9,
    _xlpm._C_f_min, R17,
    _xlpm._C_f_max, R21,
    AND(_xlpm._C_f_min &lt;= _xlpm._C_f_c, _xlpm._C_f_c &lt;= _xlpm._C_f_max)
)</f>
        <v>1</v>
      </c>
      <c r="Z24" s="33" t="s">
        <v>278</v>
      </c>
      <c r="AA24" s="31">
        <f>_xlfn.LET(
    _xlpm._N_r, K21,
    _xlpm._R_N_min, K22,
    _xlpm._N_r * _xlpm._R_N_min
)</f>
        <v>6</v>
      </c>
      <c r="AB24" s="31" t="s">
        <v>104</v>
      </c>
      <c r="AQ24" s="31">
        <f ca="1"/>
        <v>-4479.1012228676163</v>
      </c>
      <c r="AR24" s="31">
        <v>-1.6799999999999997</v>
      </c>
      <c r="AT24" s="31">
        <f ca="1"/>
        <v>-3844.0148409097069</v>
      </c>
      <c r="AU24" s="31">
        <v>8.16</v>
      </c>
    </row>
    <row r="25" spans="9:47" ht="20.25" customHeight="1">
      <c r="I25" s="31" t="s">
        <v>284</v>
      </c>
      <c r="Z25" s="33" t="s">
        <v>277</v>
      </c>
      <c r="AA25" s="31">
        <f>_xlfn.LET(
    _xlpm._N_r, K21,
    _xlpm._R_N_max, K23,
    _xlpm._N_r * _xlpm._R_N_max
)</f>
        <v>30</v>
      </c>
      <c r="AB25" s="31" t="s">
        <v>104</v>
      </c>
      <c r="AQ25" s="31">
        <f ca="1"/>
        <v>-3951.6465270711319</v>
      </c>
      <c r="AR25" s="31">
        <v>-1.1999999999999993</v>
      </c>
      <c r="AT25" s="31">
        <f ca="1"/>
        <v>-3923.9737307699374</v>
      </c>
      <c r="AU25" s="31">
        <v>8.4</v>
      </c>
    </row>
    <row r="26" spans="9:47" ht="20.25" customHeight="1">
      <c r="J26" s="33" t="s">
        <v>235</v>
      </c>
      <c r="K26" s="32">
        <f>'C1'!E7</f>
        <v>-6.5039412408014396E-3</v>
      </c>
      <c r="Z26" s="33"/>
      <c r="AQ26" s="31">
        <f ca="1"/>
        <v>-3487.359660185421</v>
      </c>
      <c r="AR26" s="31">
        <v>-0.72000000000000064</v>
      </c>
      <c r="AT26" s="31">
        <f ca="1"/>
        <v>-3994.0247966739748</v>
      </c>
      <c r="AU26" s="31">
        <v>8.64</v>
      </c>
    </row>
    <row r="27" spans="9:47" ht="20.25" customHeight="1">
      <c r="J27" s="33" t="s">
        <v>227</v>
      </c>
      <c r="K27" s="32">
        <f>'C1'!E8</f>
        <v>7.3953802908153773E-2</v>
      </c>
      <c r="Y27" s="31" t="s">
        <v>276</v>
      </c>
      <c r="AQ27" s="31">
        <f ca="1"/>
        <v>-3086.948567606174</v>
      </c>
      <c r="AR27" s="31">
        <v>-0.24000000000000021</v>
      </c>
      <c r="AT27" s="31">
        <f ca="1"/>
        <v>-4052.7363467717209</v>
      </c>
      <c r="AU27" s="31">
        <v>8.879999999999999</v>
      </c>
    </row>
    <row r="28" spans="9:47" ht="20.25" customHeight="1">
      <c r="J28" s="33" t="s">
        <v>216</v>
      </c>
      <c r="K28" s="32">
        <f>'C1'!E9</f>
        <v>-0.35664959080564745</v>
      </c>
      <c r="Z28" s="33" t="s">
        <v>337</v>
      </c>
      <c r="AA28" s="31" cm="1">
        <f t="array" aca="1" ref="AA28" ca="1">_xlfn.LET(
    _xlpm._coefficient, TRANSPOSE(AA17:AA21),
    _xlpm._N, AA24,
    SUM(_xlpm._coefficient * _xlfn.HSTACK(_xlpm._N ^ {4,3,2,1}, 1))
)</f>
        <v>-2895.7114894779465</v>
      </c>
      <c r="AQ28" s="31">
        <f ca="1"/>
        <v>-2750.5054235798953</v>
      </c>
      <c r="AR28" s="31">
        <v>0.24000000000000021</v>
      </c>
      <c r="AT28" s="31">
        <f ca="1"/>
        <v>-4098.638203516246</v>
      </c>
      <c r="AU28" s="31">
        <v>9.120000000000001</v>
      </c>
    </row>
    <row r="29" spans="9:47" ht="20.25" customHeight="1">
      <c r="J29" s="33" t="s">
        <v>207</v>
      </c>
      <c r="K29" s="32">
        <f>'C1'!E10</f>
        <v>0.18566633997122894</v>
      </c>
      <c r="Z29" s="33" t="s">
        <v>338</v>
      </c>
      <c r="AA29" s="31" cm="1">
        <f t="array" aca="1" ref="AA29" ca="1">_xlfn.LET(
    _xlpm._coefficient, TRANSPOSE(AA17:AA21),
    _xlpm._N, AA25,
    SUM(_xlpm._coefficient * _xlfn.HSTACK(_xlpm._N ^ {4,3,2,1}, 1))
)</f>
        <v>306240.91702387808</v>
      </c>
      <c r="AQ29" s="31">
        <f ca="1"/>
        <v>-2477.5066312038989</v>
      </c>
      <c r="AR29" s="31">
        <v>0.71999999999999886</v>
      </c>
      <c r="AT29" s="31">
        <f ca="1"/>
        <v>-4130.2217036637976</v>
      </c>
      <c r="AU29" s="31">
        <v>9.36</v>
      </c>
    </row>
    <row r="30" spans="9:47" ht="20.25" customHeight="1">
      <c r="J30" s="33" t="s">
        <v>203</v>
      </c>
      <c r="K30" s="32">
        <f>'C1'!E11</f>
        <v>5.3703258323470777</v>
      </c>
      <c r="Z30" s="33" t="s">
        <v>275</v>
      </c>
      <c r="AA30" s="31" t="b">
        <f ca="1">_xlfn.LET(
    _xlpm._f_N_min, AA28,
    _xlpm._f_N_max, AA29,
    _xlpm._f_N_min * _xlpm._f_N_max &gt;= 0
)</f>
        <v>0</v>
      </c>
      <c r="AQ30" s="31">
        <f ca="1"/>
        <v>-2266.8128224263046</v>
      </c>
      <c r="AR30" s="31">
        <v>1.1999999999999993</v>
      </c>
      <c r="AT30" s="31">
        <f ca="1"/>
        <v>-4145.9396982738017</v>
      </c>
      <c r="AU30" s="31">
        <v>9.6</v>
      </c>
    </row>
    <row r="31" spans="9:47" ht="20.25" customHeight="1">
      <c r="Z31" s="33" t="s">
        <v>273</v>
      </c>
      <c r="AA31" s="31" t="b">
        <f ca="1">_xlfn.LET(
    _xlpm._f_N_min, AA28,
    _xlpm._f_N_max, AA29,
    _xlpm._epsilon, K37,
    _xlpm._f_N_min_is_one_of_the_roots, ABS(_xlpm._f_N_min) &lt;= _xlpm._epsilon,
    _xlpm._f_N_max_is_one_of_the_roots, ABS(_xlpm._f_N_max) &lt;= _xlpm._epsilon,
    _xlfn.XOR(
        _xlpm._f_N_min_is_one_of_the_roots,
        _xlpm._f_N_max_is_one_of_the_roots
    )
)</f>
        <v>0</v>
      </c>
      <c r="AQ31" s="31">
        <f ca="1"/>
        <v>-2116.6688580460441</v>
      </c>
      <c r="AR31" s="31">
        <v>1.6799999999999997</v>
      </c>
      <c r="AT31" s="31">
        <f ca="1"/>
        <v>-4144.2065527088562</v>
      </c>
      <c r="AU31" s="31">
        <v>9.84</v>
      </c>
    </row>
    <row r="32" spans="9:47" ht="20.25" customHeight="1">
      <c r="J32" s="33" t="s">
        <v>176</v>
      </c>
      <c r="K32" s="32" t="b">
        <f>'C1'!E18</f>
        <v>1</v>
      </c>
      <c r="Z32" s="33" t="s">
        <v>270</v>
      </c>
      <c r="AA32" s="31" t="e">
        <f ca="1">_xlfn.LET(
    _xlpm._f_N_min, AA28,
    _xlpm._f_N_max, AA29,
    _xlpm._epsilon, K37,
    _xlpm._f_N_min_is_one_of_the_roots, ABS(_xlpm._f_N_min) &lt;= _xlpm._epsilon,
    _xlpm._f_N_max_is_one_of_the_roots, ABS(_xlpm._f_N_max) &lt;= _xlpm._epsilon,
    IF(
        _xlfn.XOR(
            _xlpm._f_N_min_is_one_of_the_roots,
            _xlpm._f_N_max_is_one_of_the_roots
        ),
        IF(
            _xlpm._f_N_min_is_one_of_the_roots,
            _xlpm._f_N_min,
            IF(_xlpm._f_N_max_is_one_of_the_roots, _xlpm._f_N_max, NA())
        ),
        NA()
    )
)</f>
        <v>#N/A</v>
      </c>
      <c r="AQ32" s="31">
        <f ca="1"/>
        <v>-2024.7038277128581</v>
      </c>
      <c r="AR32" s="31">
        <v>2.16</v>
      </c>
      <c r="AT32" s="31">
        <f ca="1"/>
        <v>-4123.3981466347359</v>
      </c>
      <c r="AU32" s="31">
        <v>10.08</v>
      </c>
    </row>
    <row r="33" spans="9:47" ht="20.25" customHeight="1">
      <c r="J33" s="33" t="s">
        <v>172</v>
      </c>
      <c r="K33" s="32">
        <f>'C1'!E19</f>
        <v>0.28465364146978933</v>
      </c>
      <c r="L33" s="31" t="s">
        <v>50</v>
      </c>
      <c r="AQ33" s="31">
        <f ca="1"/>
        <v>-1987.9310499272965</v>
      </c>
      <c r="AR33" s="31">
        <v>2.6400000000000006</v>
      </c>
      <c r="AT33" s="31">
        <f ca="1"/>
        <v>-4081.8518740203931</v>
      </c>
      <c r="AU33" s="31">
        <v>10.32</v>
      </c>
    </row>
    <row r="34" spans="9:47" ht="20.25" customHeight="1">
      <c r="Y34" s="31" t="s">
        <v>268</v>
      </c>
      <c r="AQ34" s="31">
        <f ca="1"/>
        <v>-2002.748072040717</v>
      </c>
      <c r="AR34" s="31">
        <v>3.1199999999999992</v>
      </c>
      <c r="AT34" s="31">
        <f ca="1"/>
        <v>-4017.8666431379538</v>
      </c>
      <c r="AU34" s="31">
        <v>10.559999999999999</v>
      </c>
    </row>
    <row r="35" spans="9:47" ht="20.25" customHeight="1">
      <c r="I35" s="31" t="s">
        <v>274</v>
      </c>
      <c r="Z35" s="33" t="s">
        <v>267</v>
      </c>
      <c r="AA35" s="31" t="b">
        <f ca="1">ISNUMBER(AA36)</f>
        <v>1</v>
      </c>
      <c r="AQ35" s="31">
        <f ca="1"/>
        <v>-2064.9366702552888</v>
      </c>
      <c r="AR35" s="31">
        <v>3.5999999999999996</v>
      </c>
      <c r="AT35" s="31">
        <f ca="1"/>
        <v>-3929.7028765627188</v>
      </c>
      <c r="AU35" s="31">
        <v>10.8</v>
      </c>
    </row>
    <row r="36" spans="9:47" ht="20.25" customHeight="1">
      <c r="J36" s="33" t="s">
        <v>272</v>
      </c>
      <c r="K36" s="32">
        <f>10^3</f>
        <v>1000</v>
      </c>
      <c r="L36" s="31" t="s">
        <v>271</v>
      </c>
      <c r="Z36" s="33" t="s">
        <v>266</v>
      </c>
      <c r="AA36" s="31" cm="1">
        <f t="array" aca="1" ref="AA36" ca="1">_xlfn.LET(
    _xlpm._a4, AA17,
    _xlpm._a3, AA18,
    _xlpm._a2, AA19,
    _xlpm._a1, AA20,
    _xlpm._a0, AA21,
    _xlpm._N_min, AA24,
    _xlpm._N_max, AA25,
    _xlpm._n_iteration_max, K36,
    _xlpm._epsilon, K37,
    _bisection.quartic_equation(
        _xlpm._a4,
        _xlpm._a3,
        _xlpm._a2,
        _xlpm._a1,
        _xlpm._a0,
        _xlpm._N_min,
        _xlpm._N_max,
        _xlpm._n_iteration_max,
        _xlpm._epsilon
    )
)</f>
        <v>13.807193040847778</v>
      </c>
      <c r="AB36" s="31" t="s">
        <v>104</v>
      </c>
      <c r="AQ36" s="31">
        <f ca="1"/>
        <v>-2169.6628496239887</v>
      </c>
      <c r="AR36" s="31">
        <v>4.0799999999999983</v>
      </c>
      <c r="AT36" s="31">
        <f ca="1"/>
        <v>-3815.5825111731651</v>
      </c>
      <c r="AU36" s="31">
        <v>11.04</v>
      </c>
    </row>
    <row r="37" spans="9:47" ht="20.25" customHeight="1">
      <c r="J37" s="33" t="s">
        <v>269</v>
      </c>
      <c r="K37" s="32">
        <f>10^-3</f>
        <v>1E-3</v>
      </c>
      <c r="AQ37" s="31">
        <f ca="1"/>
        <v>-2311.4768440506032</v>
      </c>
      <c r="AR37" s="31">
        <v>4.5599999999999987</v>
      </c>
      <c r="AT37" s="31">
        <f ca="1"/>
        <v>-3673.6889981509444</v>
      </c>
      <c r="AU37" s="31">
        <v>11.28</v>
      </c>
    </row>
    <row r="38" spans="9:47" ht="20.25" customHeight="1">
      <c r="AQ38" s="31">
        <f ca="1"/>
        <v>-2484.3131162897298</v>
      </c>
      <c r="AR38" s="31">
        <v>5.0399999999999991</v>
      </c>
      <c r="AT38" s="31">
        <f ca="1"/>
        <v>-3502.1673029808894</v>
      </c>
      <c r="AU38" s="31">
        <v>11.52</v>
      </c>
    </row>
    <row r="39" spans="9:47" ht="20.25" customHeight="1">
      <c r="AQ39" s="31">
        <f ca="1"/>
        <v>-2681.4903579467723</v>
      </c>
      <c r="AR39" s="31">
        <v>5.52</v>
      </c>
      <c r="AT39" s="31">
        <f ca="1"/>
        <v>-3299.1239054510011</v>
      </c>
      <c r="AU39" s="31">
        <v>11.76</v>
      </c>
    </row>
    <row r="40" spans="9:47" ht="20.25" customHeight="1">
      <c r="AQ40" s="31">
        <f ca="1"/>
        <v>-2895.7114894779465</v>
      </c>
      <c r="AR40" s="31">
        <v>6</v>
      </c>
      <c r="AT40" s="31">
        <f ca="1"/>
        <v>-3062.6267996524625</v>
      </c>
      <c r="AU40" s="31">
        <v>12</v>
      </c>
    </row>
    <row r="41" spans="9:47" ht="20.25" customHeight="1">
      <c r="AQ41" s="31">
        <f ca="1"/>
        <v>-3119.0636601902747</v>
      </c>
      <c r="AR41" s="31">
        <v>6.48</v>
      </c>
      <c r="AT41" s="31">
        <f ca="1"/>
        <v>-2790.7054939796221</v>
      </c>
      <c r="AU41" s="31">
        <v>12.24</v>
      </c>
    </row>
    <row r="42" spans="9:47" ht="20.25" customHeight="1">
      <c r="AQ42" s="31">
        <f ca="1"/>
        <v>-3343.0182482415917</v>
      </c>
      <c r="AR42" s="31">
        <v>6.9600000000000009</v>
      </c>
      <c r="AT42" s="31">
        <f ca="1"/>
        <v>-2481.3510111300207</v>
      </c>
      <c r="AU42" s="31">
        <v>12.48</v>
      </c>
    </row>
    <row r="43" spans="9:47" ht="20.25" customHeight="1">
      <c r="AQ43" s="31">
        <f ca="1"/>
        <v>-3558.4308606405361</v>
      </c>
      <c r="AR43" s="31">
        <v>7.4399999999999977</v>
      </c>
      <c r="AT43" s="31">
        <f ca="1"/>
        <v>-2132.5158881043558</v>
      </c>
      <c r="AU43" s="31">
        <v>12.719999999999999</v>
      </c>
    </row>
    <row r="44" spans="9:47" ht="20.25" customHeight="1">
      <c r="AQ44" s="31">
        <f ca="1"/>
        <v>-3755.5413332465673</v>
      </c>
      <c r="AR44" s="31">
        <v>7.9200000000000017</v>
      </c>
      <c r="AT44" s="31">
        <f ca="1"/>
        <v>-1742.1141762065095</v>
      </c>
      <c r="AU44" s="31">
        <v>12.96</v>
      </c>
    </row>
    <row r="45" spans="9:47" ht="20.25" customHeight="1">
      <c r="AQ45" s="31">
        <f ca="1"/>
        <v>-3923.9737307699365</v>
      </c>
      <c r="AR45" s="31">
        <v>8.3999999999999986</v>
      </c>
      <c r="AT45" s="31">
        <f ca="1"/>
        <v>-1308.021441043546</v>
      </c>
      <c r="AU45" s="31">
        <v>13.2</v>
      </c>
    </row>
    <row r="46" spans="9:47" ht="20.25" customHeight="1">
      <c r="AQ46" s="31">
        <f ca="1"/>
        <v>-4052.7363467717209</v>
      </c>
      <c r="AR46" s="31">
        <v>8.879999999999999</v>
      </c>
      <c r="AT46" s="31">
        <f ca="1"/>
        <v>-828.07476252569768</v>
      </c>
      <c r="AU46" s="31">
        <v>13.44</v>
      </c>
    </row>
    <row r="47" spans="9:47" ht="20.25" customHeight="1">
      <c r="AQ47" s="31">
        <f ca="1"/>
        <v>-4130.2217036637976</v>
      </c>
      <c r="AR47" s="31">
        <v>9.36</v>
      </c>
      <c r="AT47" s="31">
        <f ca="1"/>
        <v>-300.07273486636086</v>
      </c>
      <c r="AU47" s="31">
        <v>13.68</v>
      </c>
    </row>
    <row r="48" spans="9:47" ht="20.25" customHeight="1">
      <c r="AQ48" s="31">
        <f ca="1"/>
        <v>-4144.2065527088562</v>
      </c>
      <c r="AR48" s="31">
        <v>9.84</v>
      </c>
      <c r="AT48" s="31">
        <f ca="1"/>
        <v>278.22453341786013</v>
      </c>
      <c r="AU48" s="31">
        <v>13.92</v>
      </c>
    </row>
    <row r="49" spans="43:47" ht="20.25" customHeight="1">
      <c r="AQ49" s="31">
        <f ca="1"/>
        <v>-4081.8518740203931</v>
      </c>
      <c r="AR49" s="31">
        <v>10.32</v>
      </c>
      <c r="AT49" s="31">
        <f ca="1"/>
        <v>909.09541950722041</v>
      </c>
      <c r="AU49" s="31">
        <v>14.16</v>
      </c>
    </row>
    <row r="50" spans="43:47" ht="20.25" customHeight="1">
      <c r="AQ50" s="31">
        <f ca="1"/>
        <v>-3929.7028765627188</v>
      </c>
      <c r="AR50" s="31">
        <v>10.8</v>
      </c>
      <c r="AT50" s="31">
        <f ca="1"/>
        <v>1594.8567862787781</v>
      </c>
      <c r="AU50" s="31">
        <v>14.4</v>
      </c>
    </row>
    <row r="51" spans="43:47" ht="20.25" customHeight="1">
      <c r="AQ51" s="31">
        <f ca="1"/>
        <v>-3673.6889981509444</v>
      </c>
      <c r="AR51" s="31">
        <v>11.280000000000001</v>
      </c>
      <c r="AT51" s="31">
        <f ca="1"/>
        <v>2337.8639823064273</v>
      </c>
      <c r="AU51" s="31">
        <v>14.64</v>
      </c>
    </row>
    <row r="52" spans="43:47" ht="20.25" customHeight="1">
      <c r="AQ52" s="31">
        <f ca="1"/>
        <v>-3299.1239054510047</v>
      </c>
      <c r="AR52" s="31">
        <v>11.759999999999998</v>
      </c>
      <c r="AT52" s="31">
        <f ca="1"/>
        <v>3140.5108418608684</v>
      </c>
      <c r="AU52" s="31">
        <v>14.879999999999999</v>
      </c>
    </row>
    <row r="53" spans="43:47" ht="20.25" customHeight="1">
      <c r="AQ53" s="31">
        <f ca="1"/>
        <v>-2790.7054939796276</v>
      </c>
      <c r="AR53" s="31">
        <v>12.239999999999998</v>
      </c>
      <c r="AT53" s="31">
        <f ca="1"/>
        <v>4005.2296849096542</v>
      </c>
      <c r="AU53" s="31">
        <v>15.12</v>
      </c>
    </row>
    <row r="54" spans="43:47" ht="20.25" customHeight="1">
      <c r="AQ54" s="31">
        <f ca="1"/>
        <v>-2132.5158881043558</v>
      </c>
      <c r="AR54" s="31">
        <v>12.719999999999999</v>
      </c>
      <c r="AT54" s="31">
        <f ca="1"/>
        <v>4934.4913171171465</v>
      </c>
      <c r="AU54" s="31">
        <v>15.36</v>
      </c>
    </row>
    <row r="55" spans="43:47" ht="20.25" customHeight="1">
      <c r="AQ55" s="31">
        <f ca="1"/>
        <v>-1308.021441043546</v>
      </c>
      <c r="AR55" s="31">
        <v>13.2</v>
      </c>
      <c r="AT55" s="31">
        <f ca="1"/>
        <v>5930.8050298445232</v>
      </c>
      <c r="AU55" s="31">
        <v>15.6</v>
      </c>
    </row>
    <row r="56" spans="43:47" ht="20.25" customHeight="1">
      <c r="AQ56" s="31">
        <f ca="1"/>
        <v>-300.07273486636086</v>
      </c>
      <c r="AR56" s="31">
        <v>13.68</v>
      </c>
      <c r="AT56" s="31">
        <f ca="1"/>
        <v>6996.7186001497994</v>
      </c>
      <c r="AU56" s="31">
        <v>15.84</v>
      </c>
    </row>
    <row r="57" spans="43:47" ht="20.25" customHeight="1">
      <c r="AQ57" s="31">
        <f ca="1"/>
        <v>909.09541950722041</v>
      </c>
      <c r="AR57" s="31">
        <v>14.16</v>
      </c>
      <c r="AT57" s="31">
        <f ca="1"/>
        <v>8134.8182907877908</v>
      </c>
      <c r="AU57" s="31">
        <v>16.079999999999998</v>
      </c>
    </row>
    <row r="58" spans="43:47" ht="20.25" customHeight="1">
      <c r="AQ58" s="31">
        <f ca="1"/>
        <v>2337.8639823064273</v>
      </c>
      <c r="AR58" s="31">
        <v>14.64</v>
      </c>
      <c r="AT58" s="31">
        <f ca="1"/>
        <v>9347.7288502102056</v>
      </c>
      <c r="AU58" s="31">
        <v>16.32</v>
      </c>
    </row>
    <row r="59" spans="43:47" ht="20.25" customHeight="1">
      <c r="AQ59" s="31">
        <f ca="1"/>
        <v>4005.2296849096488</v>
      </c>
      <c r="AR59" s="31">
        <v>15.119999999999997</v>
      </c>
      <c r="AT59" s="31">
        <f ca="1"/>
        <v>10638.113512565484</v>
      </c>
      <c r="AU59" s="31">
        <v>16.559999999999999</v>
      </c>
    </row>
    <row r="60" spans="43:47" ht="20.25" customHeight="1">
      <c r="AQ60" s="31">
        <f ca="1"/>
        <v>5930.8050298445123</v>
      </c>
      <c r="AR60" s="31">
        <v>15.599999999999998</v>
      </c>
      <c r="AT60" s="31">
        <f ca="1"/>
        <v>12008.673997698937</v>
      </c>
      <c r="AU60" s="31">
        <v>16.799999999999997</v>
      </c>
    </row>
    <row r="61" spans="43:47" ht="20.25" customHeight="1">
      <c r="AQ61" s="31">
        <f ca="1"/>
        <v>8134.8182907877908</v>
      </c>
      <c r="AR61" s="31">
        <v>16.079999999999998</v>
      </c>
      <c r="AT61" s="31">
        <f ca="1"/>
        <v>13462.150511152746</v>
      </c>
      <c r="AU61" s="31">
        <v>17.04</v>
      </c>
    </row>
    <row r="62" spans="43:47" ht="20.25" customHeight="1">
      <c r="AQ62" s="31">
        <f ca="1"/>
        <v>10638.113512565484</v>
      </c>
      <c r="AR62" s="31">
        <v>16.559999999999999</v>
      </c>
      <c r="AT62" s="31">
        <f ca="1"/>
        <v>15001.321744165831</v>
      </c>
      <c r="AU62" s="31">
        <v>17.28</v>
      </c>
    </row>
    <row r="63" spans="43:47" ht="20.25" customHeight="1">
      <c r="AQ63" s="31">
        <f ca="1"/>
        <v>13462.150511152746</v>
      </c>
      <c r="AR63" s="31">
        <v>17.04</v>
      </c>
      <c r="AT63" s="31">
        <f ca="1"/>
        <v>16629.004873673952</v>
      </c>
      <c r="AU63" s="31">
        <v>17.52</v>
      </c>
    </row>
    <row r="64" spans="43:47" ht="20.25" customHeight="1">
      <c r="AQ64" s="31">
        <f ca="1"/>
        <v>16629.004873673952</v>
      </c>
      <c r="AR64" s="31">
        <v>17.52</v>
      </c>
      <c r="AT64" s="31">
        <f ca="1"/>
        <v>18348.055562309732</v>
      </c>
      <c r="AU64" s="31">
        <v>17.759999999999998</v>
      </c>
    </row>
    <row r="65" spans="43:47" ht="20.25" customHeight="1">
      <c r="AQ65" s="31">
        <f ca="1"/>
        <v>20161.367958402625</v>
      </c>
      <c r="AR65" s="31">
        <v>18</v>
      </c>
      <c r="AT65" s="31">
        <f ca="1"/>
        <v>20161.367958402625</v>
      </c>
      <c r="AU65" s="31">
        <v>18</v>
      </c>
    </row>
    <row r="66" spans="43:47" ht="20.25" customHeight="1">
      <c r="AQ66" s="31">
        <f ca="1"/>
        <v>24082.546894761555</v>
      </c>
      <c r="AR66" s="31">
        <v>18.48</v>
      </c>
      <c r="AT66" s="31">
        <f ca="1"/>
        <v>22071.874695978888</v>
      </c>
      <c r="AU66" s="31">
        <v>18.240000000000002</v>
      </c>
    </row>
    <row r="67" spans="43:47" ht="20.25" customHeight="1">
      <c r="AQ67" s="31">
        <f ca="1"/>
        <v>28416.46458332265</v>
      </c>
      <c r="AR67" s="31">
        <v>18.96</v>
      </c>
      <c r="AT67" s="31">
        <f ca="1"/>
        <v>24082.546894761555</v>
      </c>
      <c r="AU67" s="31">
        <v>18.48</v>
      </c>
    </row>
    <row r="68" spans="43:47" ht="20.25" customHeight="1">
      <c r="AQ68" s="31">
        <f ca="1"/>
        <v>33187.659695807008</v>
      </c>
      <c r="AR68" s="31">
        <v>19.439999999999998</v>
      </c>
      <c r="AT68" s="31">
        <f ca="1"/>
        <v>26196.394160170548</v>
      </c>
      <c r="AU68" s="31">
        <v>18.72</v>
      </c>
    </row>
    <row r="69" spans="43:47" ht="20.25" customHeight="1">
      <c r="AQ69" s="31">
        <f ca="1"/>
        <v>38421.286675085001</v>
      </c>
      <c r="AR69" s="31">
        <v>19.919999999999998</v>
      </c>
      <c r="AT69" s="31">
        <f ca="1"/>
        <v>28416.46458332265</v>
      </c>
      <c r="AU69" s="31">
        <v>18.96</v>
      </c>
    </row>
    <row r="70" spans="43:47" ht="20.25" customHeight="1">
      <c r="AQ70" s="31">
        <f ca="1"/>
        <v>44143.115735176121</v>
      </c>
      <c r="AR70" s="31">
        <v>20.399999999999999</v>
      </c>
      <c r="AT70" s="31">
        <f ca="1"/>
        <v>30745.844741031335</v>
      </c>
      <c r="AU70" s="31">
        <v>19.2</v>
      </c>
    </row>
    <row r="71" spans="43:47" ht="20.25" customHeight="1">
      <c r="AQ71" s="31">
        <f ca="1"/>
        <v>50379.532861249005</v>
      </c>
      <c r="AR71" s="31">
        <v>20.879999999999995</v>
      </c>
      <c r="AT71" s="31">
        <f ca="1"/>
        <v>33187.659695807008</v>
      </c>
      <c r="AU71" s="31">
        <v>19.439999999999998</v>
      </c>
    </row>
    <row r="72" spans="43:47" ht="20.25" customHeight="1">
      <c r="AQ72" s="31">
        <f ca="1"/>
        <v>57157.539809621689</v>
      </c>
      <c r="AR72" s="31">
        <v>21.36</v>
      </c>
      <c r="AT72" s="31">
        <f ca="1"/>
        <v>35745.072995856906</v>
      </c>
      <c r="AU72" s="31">
        <v>19.68</v>
      </c>
    </row>
    <row r="73" spans="43:47" ht="20.25" customHeight="1">
      <c r="AQ73" s="31">
        <f ca="1"/>
        <v>64504.75410776116</v>
      </c>
      <c r="AR73" s="31">
        <v>21.840000000000003</v>
      </c>
      <c r="AT73" s="31">
        <f ca="1"/>
        <v>38421.28667508503</v>
      </c>
      <c r="AU73" s="31">
        <v>19.920000000000002</v>
      </c>
    </row>
    <row r="74" spans="43:47" ht="20.25" customHeight="1">
      <c r="AQ74" s="31">
        <f ca="1"/>
        <v>72449.409054283591</v>
      </c>
      <c r="AR74" s="31">
        <v>22.32</v>
      </c>
      <c r="AT74" s="31">
        <f ca="1"/>
        <v>41219.541253092197</v>
      </c>
      <c r="AU74" s="31">
        <v>20.16</v>
      </c>
    </row>
    <row r="75" spans="43:47" ht="20.25" customHeight="1">
      <c r="AQ75" s="31">
        <f ca="1"/>
        <v>81020.353718954531</v>
      </c>
      <c r="AR75" s="31">
        <v>22.799999999999997</v>
      </c>
      <c r="AT75" s="31">
        <f ca="1"/>
        <v>44143.115735176121</v>
      </c>
      <c r="AU75" s="31">
        <v>20.399999999999999</v>
      </c>
    </row>
    <row r="76" spans="43:47" ht="20.25" customHeight="1">
      <c r="AQ76" s="31">
        <f ca="1"/>
        <v>90247.052942688766</v>
      </c>
      <c r="AR76" s="31">
        <v>23.28</v>
      </c>
      <c r="AT76" s="31">
        <f ca="1"/>
        <v>47195.327612331319</v>
      </c>
      <c r="AU76" s="31">
        <v>20.64</v>
      </c>
    </row>
    <row r="77" spans="43:47" ht="20.25" customHeight="1">
      <c r="AQ77" s="31">
        <f ca="1"/>
        <v>100159.58733754983</v>
      </c>
      <c r="AR77" s="31">
        <v>23.759999999999998</v>
      </c>
      <c r="AT77" s="31">
        <f ca="1"/>
        <v>50379.532861249041</v>
      </c>
      <c r="AU77" s="31">
        <v>20.88</v>
      </c>
    </row>
    <row r="78" spans="43:47" ht="20.25" customHeight="1">
      <c r="AQ78" s="31">
        <f ca="1"/>
        <v>110788.65328675097</v>
      </c>
      <c r="AR78" s="31">
        <v>24.239999999999995</v>
      </c>
      <c r="AT78" s="31">
        <f ca="1"/>
        <v>53699.125944317486</v>
      </c>
      <c r="AU78" s="31">
        <v>21.119999999999997</v>
      </c>
    </row>
    <row r="79" spans="43:47" ht="20.25" customHeight="1">
      <c r="AQ79" s="31">
        <f ca="1"/>
        <v>122165.56294465455</v>
      </c>
      <c r="AR79" s="31">
        <v>24.72</v>
      </c>
      <c r="AT79" s="31">
        <f ca="1"/>
        <v>57157.539809621689</v>
      </c>
      <c r="AU79" s="31">
        <v>21.36</v>
      </c>
    </row>
    <row r="80" spans="43:47" ht="20.25" customHeight="1">
      <c r="AQ80" s="31">
        <f ca="1"/>
        <v>134322.2442367718</v>
      </c>
      <c r="AR80" s="31">
        <v>25.200000000000003</v>
      </c>
      <c r="AT80" s="31">
        <f ca="1"/>
        <v>60758.24589094337</v>
      </c>
      <c r="AU80" s="31">
        <v>21.6</v>
      </c>
    </row>
    <row r="81" spans="43:47" ht="20.25" customHeight="1">
      <c r="AQ81" s="31">
        <f ca="1"/>
        <v>147291.24085976314</v>
      </c>
      <c r="AR81" s="31">
        <v>25.68</v>
      </c>
      <c r="AT81" s="31">
        <f ca="1"/>
        <v>64504.754107761088</v>
      </c>
      <c r="AU81" s="31">
        <v>21.84</v>
      </c>
    </row>
    <row r="82" spans="43:47" ht="20.25" customHeight="1">
      <c r="AQ82" s="31">
        <f ca="1"/>
        <v>161105.71228143858</v>
      </c>
      <c r="AR82" s="31">
        <v>26.159999999999997</v>
      </c>
      <c r="AT82" s="31">
        <f ca="1"/>
        <v>68400.612865250412</v>
      </c>
      <c r="AU82" s="31">
        <v>22.08</v>
      </c>
    </row>
    <row r="83" spans="43:47" ht="20.25" customHeight="1">
      <c r="AQ83" s="31">
        <f ca="1"/>
        <v>175799.43374075729</v>
      </c>
      <c r="AR83" s="31">
        <v>26.64</v>
      </c>
      <c r="AT83" s="31">
        <f ca="1"/>
        <v>72449.409054283591</v>
      </c>
      <c r="AU83" s="31">
        <v>22.32</v>
      </c>
    </row>
    <row r="84" spans="43:47" ht="20.25" customHeight="1">
      <c r="AQ84" s="31">
        <f ca="1"/>
        <v>191406.79624782692</v>
      </c>
      <c r="AR84" s="31">
        <v>27.119999999999997</v>
      </c>
      <c r="AT84" s="31">
        <f ca="1"/>
        <v>76654.768051429652</v>
      </c>
      <c r="AU84" s="31">
        <v>22.56</v>
      </c>
    </row>
    <row r="85" spans="43:47" ht="20.25" customHeight="1">
      <c r="AQ85" s="31">
        <f ca="1"/>
        <v>207962.80658390551</v>
      </c>
      <c r="AR85" s="31">
        <v>27.6</v>
      </c>
      <c r="AT85" s="31">
        <f ca="1"/>
        <v>81020.35371895459</v>
      </c>
      <c r="AU85" s="31">
        <v>22.8</v>
      </c>
    </row>
    <row r="86" spans="43:47" ht="20.25" customHeight="1">
      <c r="AQ86" s="31">
        <f ca="1"/>
        <v>225503.08730139903</v>
      </c>
      <c r="AR86" s="31">
        <v>28.08</v>
      </c>
      <c r="AT86" s="31">
        <f ca="1"/>
        <v>85549.868404821056</v>
      </c>
      <c r="AU86" s="31">
        <v>23.04</v>
      </c>
    </row>
    <row r="87" spans="43:47" ht="20.25" customHeight="1">
      <c r="AQ87" s="31">
        <f ca="1"/>
        <v>244063.87672386362</v>
      </c>
      <c r="AR87" s="31">
        <v>28.560000000000002</v>
      </c>
      <c r="AT87" s="31">
        <f ca="1"/>
        <v>90247.052942688766</v>
      </c>
      <c r="AU87" s="31">
        <v>23.28</v>
      </c>
    </row>
    <row r="88" spans="43:47" ht="20.25" customHeight="1">
      <c r="AQ88" s="31">
        <f ca="1"/>
        <v>263682.02894600399</v>
      </c>
      <c r="AR88" s="31">
        <v>29.04</v>
      </c>
      <c r="AT88" s="31">
        <f ca="1"/>
        <v>95115.686651913915</v>
      </c>
      <c r="AU88" s="31">
        <v>23.52</v>
      </c>
    </row>
    <row r="89" spans="43:47" ht="20.25" customHeight="1">
      <c r="AQ89" s="31">
        <f ca="1"/>
        <v>284395.01383367408</v>
      </c>
      <c r="AR89" s="31">
        <v>29.519999999999996</v>
      </c>
      <c r="AT89" s="31">
        <f ca="1"/>
        <v>100159.58733754983</v>
      </c>
      <c r="AU89" s="31">
        <v>23.759999999999998</v>
      </c>
    </row>
    <row r="90" spans="43:47" ht="20.25" customHeight="1">
      <c r="AQ90" s="31">
        <f ca="1"/>
        <v>306240.91702387808</v>
      </c>
      <c r="AR90" s="31">
        <v>30</v>
      </c>
      <c r="AT90" s="31">
        <f ca="1"/>
        <v>105382.61129034666</v>
      </c>
      <c r="AU90" s="31">
        <v>24</v>
      </c>
    </row>
    <row r="91" spans="43:47" ht="20.25" customHeight="1">
      <c r="AQ91" s="31">
        <f ca="1"/>
        <v>329258.43992476736</v>
      </c>
      <c r="AR91" s="31">
        <v>30.479999999999997</v>
      </c>
      <c r="AT91" s="31">
        <f ca="1"/>
        <v>110788.65328675105</v>
      </c>
      <c r="AU91" s="31">
        <v>24.24</v>
      </c>
    </row>
    <row r="92" spans="43:47" ht="20.25" customHeight="1">
      <c r="AQ92" s="31">
        <f ca="1"/>
        <v>353486.89971564454</v>
      </c>
      <c r="AR92" s="31">
        <v>30.96</v>
      </c>
      <c r="AT92" s="31">
        <f ca="1"/>
        <v>116381.64658890691</v>
      </c>
      <c r="AU92" s="31">
        <v>24.48</v>
      </c>
    </row>
    <row r="93" spans="43:47" ht="20.25" customHeight="1">
      <c r="AQ93" s="31">
        <f ca="1"/>
        <v>378966.22934695985</v>
      </c>
      <c r="AR93" s="31">
        <v>31.439999999999998</v>
      </c>
      <c r="AT93" s="31">
        <f ca="1"/>
        <v>122165.56294465455</v>
      </c>
      <c r="AU93" s="31">
        <v>24.72</v>
      </c>
    </row>
    <row r="94" spans="43:47" ht="20.25" customHeight="1">
      <c r="AQ94" s="31">
        <f ca="1"/>
        <v>405736.97754031402</v>
      </c>
      <c r="AR94" s="31">
        <v>31.92</v>
      </c>
      <c r="AT94" s="31">
        <f ca="1"/>
        <v>128144.41258753145</v>
      </c>
      <c r="AU94" s="31">
        <v>24.96</v>
      </c>
    </row>
    <row r="95" spans="43:47" ht="20.25" customHeight="1">
      <c r="AQ95" s="31">
        <f ca="1"/>
        <v>433840.30878845556</v>
      </c>
      <c r="AR95" s="31">
        <v>32.4</v>
      </c>
      <c r="AT95" s="31">
        <f ca="1"/>
        <v>134322.24423677169</v>
      </c>
      <c r="AU95" s="31">
        <v>25.2</v>
      </c>
    </row>
    <row r="96" spans="43:47" ht="20.25" customHeight="1">
      <c r="AQ96" s="31">
        <f ca="1"/>
        <v>463318.00335528335</v>
      </c>
      <c r="AR96" s="31">
        <v>32.879999999999995</v>
      </c>
      <c r="AT96" s="31">
        <f ca="1"/>
        <v>140703.14509730626</v>
      </c>
      <c r="AU96" s="31">
        <v>25.439999999999998</v>
      </c>
    </row>
    <row r="97" spans="43:47" ht="20.25" customHeight="1">
      <c r="AQ97" s="31">
        <f ca="1"/>
        <v>494212.45727584546</v>
      </c>
      <c r="AR97" s="31">
        <v>33.36</v>
      </c>
      <c r="AT97" s="31">
        <f ca="1"/>
        <v>147291.24085976314</v>
      </c>
      <c r="AU97" s="31">
        <v>25.68</v>
      </c>
    </row>
    <row r="98" spans="43:47" ht="20.25" customHeight="1">
      <c r="AQ98" s="31">
        <f ca="1"/>
        <v>526566.68235633813</v>
      </c>
      <c r="AR98" s="31">
        <v>33.839999999999996</v>
      </c>
      <c r="AT98" s="31">
        <f ca="1"/>
        <v>154090.69570046672</v>
      </c>
      <c r="AU98" s="31">
        <v>25.919999999999998</v>
      </c>
    </row>
    <row r="99" spans="43:47" ht="20.25" customHeight="1">
      <c r="AQ99" s="31">
        <f ca="1"/>
        <v>560424.30617410771</v>
      </c>
      <c r="AR99" s="31">
        <v>34.32</v>
      </c>
      <c r="AT99" s="31">
        <f ca="1"/>
        <v>161105.71228143864</v>
      </c>
      <c r="AU99" s="31">
        <v>26.16</v>
      </c>
    </row>
    <row r="100" spans="43:47" ht="20.25" customHeight="1">
      <c r="AQ100" s="31">
        <f ca="1"/>
        <v>595829.57207764871</v>
      </c>
      <c r="AR100" s="31">
        <v>34.799999999999997</v>
      </c>
      <c r="AT100" s="31">
        <f ca="1"/>
        <v>168340.53175039709</v>
      </c>
      <c r="AU100" s="31">
        <v>26.4</v>
      </c>
    </row>
    <row r="101" spans="43:47" ht="20.25" customHeight="1">
      <c r="AQ101" s="31">
        <f ca="1"/>
        <v>632827.33918660705</v>
      </c>
      <c r="AR101" s="31">
        <v>35.28</v>
      </c>
      <c r="AT101" s="31">
        <f ca="1"/>
        <v>175799.43374075729</v>
      </c>
      <c r="AU101" s="31">
        <v>26.64</v>
      </c>
    </row>
    <row r="102" spans="43:47" ht="20.25" customHeight="1">
      <c r="AQ102" s="31">
        <f ca="1"/>
        <v>671463.08239177475</v>
      </c>
      <c r="AR102" s="31">
        <v>35.76</v>
      </c>
      <c r="AT102" s="31">
        <f ca="1"/>
        <v>183486.73637163089</v>
      </c>
      <c r="AU102" s="31">
        <v>26.88</v>
      </c>
    </row>
    <row r="103" spans="43:47" ht="20.25" customHeight="1">
      <c r="AQ103" s="31">
        <f ca="1"/>
        <v>711782.89235509536</v>
      </c>
      <c r="AR103" s="31">
        <v>36.239999999999995</v>
      </c>
      <c r="AT103" s="31">
        <f ca="1"/>
        <v>191406.79624782692</v>
      </c>
      <c r="AU103" s="31">
        <v>27.119999999999997</v>
      </c>
    </row>
    <row r="104" spans="43:47" ht="20.25" customHeight="1">
      <c r="AQ104" s="31">
        <f ca="1"/>
        <v>753833.47550966113</v>
      </c>
      <c r="AR104" s="31">
        <v>36.72</v>
      </c>
      <c r="AT104" s="31">
        <f ca="1"/>
        <v>199564.00845985112</v>
      </c>
      <c r="AU104" s="31">
        <v>27.36</v>
      </c>
    </row>
    <row r="105" spans="43:47" ht="20.25" customHeight="1">
      <c r="AQ105" s="31">
        <f ca="1"/>
        <v>797662.15405971278</v>
      </c>
      <c r="AR105" s="31">
        <v>37.199999999999996</v>
      </c>
      <c r="AT105" s="31">
        <f ca="1"/>
        <v>207962.80658390536</v>
      </c>
      <c r="AU105" s="31">
        <v>27.599999999999998</v>
      </c>
    </row>
    <row r="106" spans="43:47" ht="20.25" customHeight="1">
      <c r="AQ106" s="31">
        <f ca="1"/>
        <v>843316.8659806411</v>
      </c>
      <c r="AR106" s="31">
        <v>37.68</v>
      </c>
      <c r="AT106" s="31">
        <f ca="1"/>
        <v>216607.66268188946</v>
      </c>
      <c r="AU106" s="31">
        <v>27.84</v>
      </c>
    </row>
    <row r="107" spans="43:47" ht="20.25" customHeight="1">
      <c r="AQ107" s="31">
        <f ca="1"/>
        <v>890846.16501898482</v>
      </c>
      <c r="AR107" s="31">
        <v>38.159999999999997</v>
      </c>
      <c r="AT107" s="31">
        <f ca="1"/>
        <v>225503.08730139903</v>
      </c>
      <c r="AU107" s="31">
        <v>28.08</v>
      </c>
    </row>
    <row r="108" spans="43:47" ht="20.25" customHeight="1">
      <c r="AQ108" s="31">
        <f ca="1"/>
        <v>940299.22069243377</v>
      </c>
      <c r="AR108" s="31">
        <v>38.64</v>
      </c>
      <c r="AT108" s="31">
        <f ca="1"/>
        <v>234653.62947572724</v>
      </c>
      <c r="AU108" s="31">
        <v>28.32</v>
      </c>
    </row>
    <row r="109" spans="43:47" ht="20.25" customHeight="1">
      <c r="AQ109" s="31">
        <f ca="1"/>
        <v>991725.81828982476</v>
      </c>
      <c r="AR109" s="31">
        <v>39.119999999999997</v>
      </c>
      <c r="AT109" s="31">
        <f ca="1"/>
        <v>244063.87672386356</v>
      </c>
      <c r="AU109" s="31">
        <v>28.56</v>
      </c>
    </row>
    <row r="110" spans="43:47" ht="20.25" customHeight="1">
      <c r="AQ110" s="31">
        <f ca="1"/>
        <v>1045176.3588711463</v>
      </c>
      <c r="AR110" s="31">
        <v>39.6</v>
      </c>
      <c r="AT110" s="31">
        <f ca="1"/>
        <v>253738.45505049481</v>
      </c>
      <c r="AU110" s="31">
        <v>28.8</v>
      </c>
    </row>
    <row r="111" spans="43:47" ht="20.25" customHeight="1">
      <c r="AQ111" s="31">
        <f ca="1"/>
        <v>1100701.8592675331</v>
      </c>
      <c r="AR111" s="31">
        <v>40.08</v>
      </c>
      <c r="AT111" s="31">
        <f ca="1"/>
        <v>263682.02894600399</v>
      </c>
      <c r="AU111" s="31">
        <v>29.04</v>
      </c>
    </row>
    <row r="112" spans="43:47" ht="20.25" customHeight="1">
      <c r="AQ112" s="31">
        <f ca="1"/>
        <v>1158353.9520812719</v>
      </c>
      <c r="AR112" s="31">
        <v>40.559999999999995</v>
      </c>
      <c r="AT112" s="31">
        <f ca="1"/>
        <v>273899.30138647143</v>
      </c>
      <c r="AU112" s="31">
        <v>29.279999999999998</v>
      </c>
    </row>
    <row r="113" spans="43:47" ht="20.25" customHeight="1">
      <c r="AQ113" s="31">
        <f ca="1"/>
        <v>1218184.8856857975</v>
      </c>
      <c r="AR113" s="31">
        <v>41.04</v>
      </c>
      <c r="AT113" s="31">
        <f ca="1"/>
        <v>284395.01383367437</v>
      </c>
      <c r="AU113" s="31">
        <v>29.52</v>
      </c>
    </row>
    <row r="114" spans="43:47" ht="20.25" customHeight="1">
      <c r="AQ114" s="31">
        <f ca="1"/>
        <v>1280247.5242256927</v>
      </c>
      <c r="AR114" s="31">
        <v>41.519999999999996</v>
      </c>
      <c r="AT114" s="31">
        <f ca="1"/>
        <v>295173.94623508619</v>
      </c>
      <c r="AU114" s="31">
        <v>29.759999999999998</v>
      </c>
    </row>
    <row r="115" spans="43:47" ht="20.25" customHeight="1">
      <c r="AQ115" s="31">
        <f ca="1"/>
        <v>1344595.3476166921</v>
      </c>
      <c r="AR115" s="31">
        <v>42</v>
      </c>
      <c r="AT115" s="31">
        <f ca="1"/>
        <v>306240.91702387808</v>
      </c>
      <c r="AU115" s="31">
        <v>30</v>
      </c>
    </row>
  </sheetData>
  <sheetProtection algorithmName="SHA-512" hashValue="L8p1znfTZY9aT1CVADyCqMcAks7nWs4yCKjW1kvfOZvtVPvxy5t3S6YZ55Wh0kqsEpJYvbjdWBWtk8lZiKijig==" saltValue="errdxsMu4ltn2TYXUH5Ghw==" spinCount="100000" sheet="1" objects="1" scenarios="1"/>
  <phoneticPr fontId="2"/>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5C0BA-44A3-4BD9-9ABD-88A41181B082}">
  <sheetPr codeName="Sheet23">
    <tabColor theme="0" tint="-0.499984740745262"/>
  </sheetPr>
  <dimension ref="A1:AZ115"/>
  <sheetViews>
    <sheetView showGridLines="0" workbookViewId="0"/>
  </sheetViews>
  <sheetFormatPr defaultColWidth="3.375" defaultRowHeight="20.25" customHeight="1"/>
  <cols>
    <col min="1" max="2" width="3.375" style="31"/>
    <col min="3" max="3" width="27.75" style="31" bestFit="1" customWidth="1"/>
    <col min="4" max="4" width="10" style="31" bestFit="1" customWidth="1"/>
    <col min="5" max="5" width="3.75" style="31" bestFit="1" customWidth="1"/>
    <col min="6" max="9" width="3.375" style="31"/>
    <col min="10" max="10" width="38.75" style="31" bestFit="1" customWidth="1"/>
    <col min="11" max="11" width="9.375" style="31" customWidth="1"/>
    <col min="12" max="12" width="5.375" style="31" bestFit="1" customWidth="1"/>
    <col min="13" max="14" width="3.375" style="31"/>
    <col min="15" max="15" width="3.75" style="31" bestFit="1" customWidth="1"/>
    <col min="16" max="16" width="3.75" style="31" customWidth="1"/>
    <col min="17" max="17" width="27.625" style="31" bestFit="1" customWidth="1"/>
    <col min="18" max="18" width="15.875" style="31" customWidth="1"/>
    <col min="19" max="22" width="3.75" style="31" customWidth="1"/>
    <col min="23" max="25" width="3.375" style="31"/>
    <col min="26" max="26" width="21.375" style="31" bestFit="1" customWidth="1"/>
    <col min="27" max="27" width="21" style="31" bestFit="1" customWidth="1"/>
    <col min="28" max="28" width="3.75" style="31" bestFit="1" customWidth="1"/>
    <col min="29" max="42" width="3.375" style="31"/>
    <col min="43" max="44" width="8.125" style="31" customWidth="1"/>
    <col min="45" max="45" width="3.375" style="31" customWidth="1"/>
    <col min="46" max="47" width="8.125" style="31" customWidth="1"/>
    <col min="48" max="49" width="3.375" style="31"/>
    <col min="50" max="50" width="13.125" style="31" bestFit="1" customWidth="1"/>
    <col min="51" max="51" width="13.25" style="31" customWidth="1"/>
    <col min="52" max="52" width="4.25" style="31" bestFit="1" customWidth="1"/>
    <col min="53" max="16384" width="3.375" style="31"/>
  </cols>
  <sheetData>
    <row r="1" spans="1:52" s="40" customFormat="1" ht="20.25" customHeight="1">
      <c r="A1" s="40" t="s">
        <v>509</v>
      </c>
    </row>
    <row r="2" spans="1:52" s="40" customFormat="1" ht="30">
      <c r="B2" s="41" t="str">
        <f ca="1">_xlfn.LET(
    _xlpm._header, "回転数を数値計算で求める",
    _xlpm._numbering, IFERROR(K8,K9),
    _xlpm._header &amp; "（要求条件番号：" &amp; _xlpm._numbering &amp; "）"
)</f>
        <v>回転数を数値計算で求める（要求条件番号：2）</v>
      </c>
    </row>
    <row r="3" spans="1:52" s="39" customFormat="1" ht="7.5" customHeight="1"/>
    <row r="5" spans="1:52" ht="20.25" customHeight="1">
      <c r="B5" s="31" t="s">
        <v>102</v>
      </c>
      <c r="G5" s="31" t="s">
        <v>101</v>
      </c>
      <c r="N5" s="31" t="s">
        <v>303</v>
      </c>
    </row>
    <row r="6" spans="1:52" ht="20.25" customHeight="1">
      <c r="C6" s="31" t="s">
        <v>302</v>
      </c>
      <c r="D6" s="31">
        <f ca="1">AY7</f>
        <v>18.98049920797348</v>
      </c>
      <c r="E6" s="31" t="s">
        <v>104</v>
      </c>
      <c r="H6" s="31" t="s">
        <v>99</v>
      </c>
      <c r="O6" s="31" t="s">
        <v>301</v>
      </c>
      <c r="V6" s="31" t="s">
        <v>300</v>
      </c>
      <c r="AW6" s="31" t="s">
        <v>299</v>
      </c>
    </row>
    <row r="7" spans="1:52" ht="20.25" customHeight="1">
      <c r="I7" s="31" t="s">
        <v>343</v>
      </c>
      <c r="AX7" s="33" t="s">
        <v>266</v>
      </c>
      <c r="AY7" s="31">
        <f ca="1">_xlfn.LET(
    _xlpm._N_bisection, AA36,
    _xlpm._N_initial, AA32,
    _xlpm._initial_values_are_invalid, AA30,
    _xlpm._m_c_is_out_of_range, NOT(R24),
    _xlpm._N_initial_is_one_of_the_roots, AA31,
    _xlpm._converged, AA35,
    IF(
        OR(
            _xlpm._initial_values_are_invalid,
            _xlpm._m_c_is_out_of_range
        ),
        NA(),
        IF(
            _xlpm._N_initial_is_one_of_the_roots,
            _xlpm._N_initial,
            IF(_xlpm._converged, _xlpm._N_bisection, NA())
        )
    )
)</f>
        <v>18.98049920797348</v>
      </c>
      <c r="AZ7" s="31" t="s">
        <v>104</v>
      </c>
    </row>
    <row r="8" spans="1:52" ht="20.25" customHeight="1">
      <c r="J8" s="33" t="s">
        <v>344</v>
      </c>
      <c r="K8" s="53" cm="1">
        <f t="array" aca="1" ref="K8" ca="1">_xlfn.LET(
    _xlpm._name_sheet, _xlfn.TEXTAFTER(
        _xlfn.TAKE(_xlfn.TEXTSPLIT( CELL("filename",A1), , "\"), -1),
        "]"
    ),
   VALUE(_xlfn.TEXTAFTER(_xlpm._name_sheet, "_"))
)</f>
        <v>2</v>
      </c>
    </row>
    <row r="9" spans="1:52" ht="20.25" customHeight="1">
      <c r="J9" s="33" t="s">
        <v>345</v>
      </c>
      <c r="K9" s="32">
        <v>2</v>
      </c>
      <c r="Q9" s="33" t="s">
        <v>295</v>
      </c>
      <c r="R9" s="31">
        <f ca="1">_xlfn.LET(
    _xlpm._m_c, K10,
    _xlpm._rho, K13,
    _xlpm._N_r, K21,
    _xlpm._D, K20,
    _xlpm._m_c * _xlpm._rho ^ -1 * _xlpm._N_r ^ -1 * _xlpm._D ^ -3
)</f>
        <v>3.1481481481481484</v>
      </c>
      <c r="S9" s="31" t="s">
        <v>84</v>
      </c>
    </row>
    <row r="10" spans="1:52" ht="20.25" customHeight="1">
      <c r="J10" s="33" t="s">
        <v>298</v>
      </c>
      <c r="K10" s="32" cm="1">
        <f t="array" aca="1" ref="K10" ca="1">_xlfn.LET(
    _xlpm._m_c,_xlfn.ANCHORARRAY( prm!A5),
    _xlpm._numbering, IFERROR(K8,K9),
    INDEX(_xlpm._m_c, _xlpm._numbering)
)</f>
        <v>2550</v>
      </c>
      <c r="L10" s="31" t="s">
        <v>92</v>
      </c>
      <c r="AR10" s="48" t="s">
        <v>210</v>
      </c>
    </row>
    <row r="11" spans="1:52" ht="20.25" customHeight="1">
      <c r="J11" s="33" t="s">
        <v>297</v>
      </c>
      <c r="K11" s="32" cm="1">
        <f t="array" aca="1" ref="K11" ca="1">_xlfn.LET(
    _xlpm._dP_c,_xlfn.ANCHORARRAY( prm!B5),
    _xlpm._numbering, IFERROR(K8,K9),
    INDEX(_xlpm._dP_c, _xlpm._numbering)
)</f>
        <v>83.903999999999982</v>
      </c>
      <c r="L11" s="31" t="s">
        <v>296</v>
      </c>
      <c r="P11" s="31" t="s">
        <v>294</v>
      </c>
      <c r="AR11" s="32">
        <v>1</v>
      </c>
      <c r="AT11" s="31" t="s">
        <v>336</v>
      </c>
    </row>
    <row r="12" spans="1:52" ht="20.25" customHeight="1">
      <c r="I12" s="31" t="s">
        <v>342</v>
      </c>
      <c r="J12" s="33"/>
      <c r="K12" s="33"/>
      <c r="L12" s="33"/>
      <c r="AQ12" s="37" t="s">
        <v>202</v>
      </c>
      <c r="AR12" s="37" t="s">
        <v>201</v>
      </c>
      <c r="AT12" s="37" t="s">
        <v>202</v>
      </c>
      <c r="AU12" s="37" t="s">
        <v>201</v>
      </c>
    </row>
    <row r="13" spans="1:52" ht="20.25" customHeight="1">
      <c r="J13" s="33" t="s">
        <v>115</v>
      </c>
      <c r="K13" s="32">
        <f>10^3</f>
        <v>1000</v>
      </c>
      <c r="L13" s="31" t="s">
        <v>114</v>
      </c>
      <c r="AQ13" s="47" t="s">
        <v>335</v>
      </c>
      <c r="AR13" s="47" t="s">
        <v>334</v>
      </c>
      <c r="AT13" s="47" t="s">
        <v>335</v>
      </c>
      <c r="AU13" s="47" t="s">
        <v>334</v>
      </c>
    </row>
    <row r="14" spans="1:52" ht="20.25" customHeight="1">
      <c r="J14" s="33"/>
      <c r="AQ14" s="35" t="s">
        <v>84</v>
      </c>
      <c r="AR14" s="35" t="s">
        <v>84</v>
      </c>
      <c r="AT14" s="35" t="s">
        <v>84</v>
      </c>
      <c r="AU14" s="35" t="s">
        <v>84</v>
      </c>
    </row>
    <row r="15" spans="1:52" ht="20.25" customHeight="1">
      <c r="I15" s="31" t="s">
        <v>529</v>
      </c>
      <c r="X15" s="31" t="s">
        <v>293</v>
      </c>
      <c r="AQ15" s="31" cm="1">
        <f t="array" aca="1" ref="AQ15:AQ115" ca="1">_xlfn.LET(
    _xlpm._coefficient, TRANSPOSE(AA17:AA21),
    _xlpm._values_N,_xlfn.ANCHORARRAY( AR15),
    _xlfn.MAP(
        _xlpm._values_N,
        _xlfn.LAMBDA(_xlpm._N,
            SUM(
                _xlpm._coefficient *
                    _xlfn.HSTACK(_xlpm._N ^ {4,3,2,1}, 1)
            )
        )
    )
)</f>
        <v>-93256.327233356395</v>
      </c>
      <c r="AR15" s="31" cm="1">
        <f t="array" ref="AR15:AR115">_xlfn.LET(
    _xlpm._number_divisions, 100,
    _xlpm._rate_extrapolation, AR11,
    _xlpm._N0, AA24,
    _xlpm._N1, AA25,
    _xlpm._extrapolation, (_xlpm._N1 - _xlpm._N0) * _xlpm._rate_extrapolation,
    ((_xlpm._N1 - _xlpm._N0) + _xlpm._extrapolation) / _xlpm._number_divisions *
        (_xlfn.SEQUENCE(_xlpm._number_divisions + 1) - 1) + _xlpm._N0 -
        _xlpm._extrapolation / 2
)</f>
        <v>-6</v>
      </c>
      <c r="AT15" s="31" cm="1">
        <f t="array" aca="1" ref="AT15:AT115" ca="1">_xlfn.LET(
    _xlpm._coefficient, TRANSPOSE(AA17:AA21),
    _xlpm._values_N,_xlfn.ANCHORARRAY( AU15),
    _xlfn.MAP(
        _xlpm._values_N,
        _xlfn.LAMBDA(_xlpm._N,
            SUM(
                _xlpm._coefficient *
                    _xlfn.HSTACK(_xlpm._N ^ {4,3,2,1}, 1)
            )
        )
    )
)</f>
        <v>-25290.294935248814</v>
      </c>
      <c r="AU15" s="31" cm="1">
        <f t="array" ref="AU15:AU115">_xlfn.LET(
    _xlpm._number_divisions, 100,
    _xlpm._N0, AA24,
    _xlpm._N1, AA25,
    (_xlpm._N1 - _xlpm._N0) / _xlpm._number_divisions *
        (_xlfn.SEQUENCE(_xlpm._number_divisions + 1) - 1) + _xlpm._N0
)</f>
        <v>6</v>
      </c>
    </row>
    <row r="16" spans="1:52" ht="20.25" customHeight="1">
      <c r="J16" s="33" t="s">
        <v>530</v>
      </c>
      <c r="K16" s="32">
        <f>'C1'!E14</f>
        <v>1.832382785185185E-2</v>
      </c>
      <c r="L16" s="31" t="s">
        <v>5</v>
      </c>
      <c r="Y16" s="31" t="s">
        <v>292</v>
      </c>
      <c r="AQ16" s="31">
        <f ca="1"/>
        <v>-88620.027644956455</v>
      </c>
      <c r="AR16" s="31">
        <v>-5.52</v>
      </c>
      <c r="AT16" s="31">
        <f ca="1"/>
        <v>-24883.188762251473</v>
      </c>
      <c r="AU16" s="31">
        <v>6.24</v>
      </c>
    </row>
    <row r="17" spans="9:47" ht="20.25" customHeight="1">
      <c r="J17" s="33" t="s">
        <v>531</v>
      </c>
      <c r="K17" s="32">
        <f>'C1'!E15</f>
        <v>5.6803866333333337</v>
      </c>
      <c r="L17" s="31" t="s">
        <v>5</v>
      </c>
      <c r="Q17" s="33" t="s">
        <v>291</v>
      </c>
      <c r="R17" s="31">
        <f>_xlfn.LET(
    _xlpm._rho, K13,
    _xlpm._N_r, K21,
    _xlpm._D, K20,
    _xlpm._C_f_p, K33,
    _xlpm._C_f_min_sample, K16,
    _xlpm._local_maximum_exists, K32,
    IF(
        _xlpm._local_maximum_exists,
        _xlpm._C_f_p,
        _xlpm._C_f_min_sample
    )
)</f>
        <v>0.28465364146978933</v>
      </c>
      <c r="S17" s="31" t="s">
        <v>84</v>
      </c>
      <c r="Z17" s="33" t="s">
        <v>290</v>
      </c>
      <c r="AA17" s="31">
        <f>_xlfn.LET(
    _xlpm._alpha_5, K30,
    _xlpm._rho, K13,
    _xlpm._D, K20,
    _xlpm._rho * _xlpm._D ^ 2 * _xlpm._alpha_5 * 10 ^ -3
)</f>
        <v>0.48332932491123698</v>
      </c>
      <c r="AQ17" s="31">
        <f ca="1"/>
        <v>-84125.596383646509</v>
      </c>
      <c r="AR17" s="31">
        <v>-5.04</v>
      </c>
      <c r="AT17" s="31">
        <f ca="1"/>
        <v>-24502.316531676319</v>
      </c>
      <c r="AU17" s="31">
        <v>6.48</v>
      </c>
    </row>
    <row r="18" spans="9:47" ht="20.25" customHeight="1">
      <c r="Z18" s="33" t="s">
        <v>288</v>
      </c>
      <c r="AA18" s="31">
        <f ca="1">_xlfn.LET(
    _xlpm._alpha_4, K29,
    _xlpm._m_c, K10,
    _xlpm._D, K20,
    _xlpm._alpha_4 * _xlpm._m_c * _xlpm._D ^ -1 * 10 ^ -3
)</f>
        <v>1.578163889755446</v>
      </c>
      <c r="AQ18" s="31">
        <f ca="1"/>
        <v>-79778.759738262248</v>
      </c>
      <c r="AR18" s="31">
        <v>-4.5600000000000005</v>
      </c>
      <c r="AT18" s="31">
        <f ca="1"/>
        <v>-24146.527473331826</v>
      </c>
      <c r="AU18" s="31">
        <v>6.72</v>
      </c>
    </row>
    <row r="19" spans="9:47" ht="20.25" customHeight="1">
      <c r="I19" s="31" t="s">
        <v>112</v>
      </c>
      <c r="J19" s="33"/>
      <c r="Z19" s="33" t="s">
        <v>286</v>
      </c>
      <c r="AA19" s="31">
        <f ca="1">_xlfn.LET(
    _xlpm._alpha_3, K28,
    _xlpm._m_c, K10,
    _xlpm._rho, K13,
    _xlpm._D, K20,
    _xlpm._dP_c, K11,
    _xlpm._alpha_3 * _xlpm._m_c ^ 2 * 10 ^ -3 * _xlpm._rho ^ -1 * _xlpm._D ^ -4 - _xlpm._dP_c
)</f>
        <v>-370.21436595231143</v>
      </c>
      <c r="AQ19" s="31">
        <f ca="1"/>
        <v>-75584.628226490182</v>
      </c>
      <c r="AR19" s="31">
        <v>-4.08</v>
      </c>
      <c r="AT19" s="31">
        <f ca="1"/>
        <v>-23814.632331329645</v>
      </c>
      <c r="AU19" s="31">
        <v>6.96</v>
      </c>
    </row>
    <row r="20" spans="9:47" ht="20.25" customHeight="1">
      <c r="J20" s="33" t="s">
        <v>111</v>
      </c>
      <c r="K20" s="32">
        <v>0.3</v>
      </c>
      <c r="L20" s="31" t="s">
        <v>110</v>
      </c>
      <c r="Z20" s="33" t="s">
        <v>285</v>
      </c>
      <c r="AA20" s="31">
        <f ca="1">_xlfn.LET(
    _xlpm._alpha_2, K27,
    _xlpm._m_c, K10,
    _xlpm._rho, K13,
    _xlpm._D, K20,
    _xlpm._alpha_2 * _xlpm._m_c ^ 3 * 10 ^ -3 * _xlpm._rho ^ -2 * _xlpm._D ^ -7
)</f>
        <v>5607.0221248111029</v>
      </c>
      <c r="AQ20" s="31">
        <f ca="1"/>
        <v>-71547.696594867695</v>
      </c>
      <c r="AR20" s="31">
        <v>-3.5999999999999996</v>
      </c>
      <c r="AT20" s="31">
        <f ca="1"/>
        <v>-23505.403364084621</v>
      </c>
      <c r="AU20" s="31">
        <v>7.2</v>
      </c>
    </row>
    <row r="21" spans="9:47" ht="20.25" customHeight="1">
      <c r="J21" s="33" t="s">
        <v>105</v>
      </c>
      <c r="K21" s="32">
        <f>prm!D5</f>
        <v>30</v>
      </c>
      <c r="L21" s="31" t="s">
        <v>104</v>
      </c>
      <c r="Q21" s="33" t="s">
        <v>283</v>
      </c>
      <c r="R21" s="31">
        <f>K17</f>
        <v>5.6803866333333337</v>
      </c>
      <c r="S21" s="31" t="s">
        <v>84</v>
      </c>
      <c r="Z21" s="33" t="s">
        <v>282</v>
      </c>
      <c r="AA21" s="31">
        <f ca="1">_xlfn.LET(
    _xlpm._alpha_1, K26,
    _xlpm._m_c, K10,
    _xlpm._rho, K13,
    _xlpm._D, K20,
    _xlpm._alpha_1 * _xlpm._m_c ^ 4 * 10 ^ -3 * _xlpm._rho ^ -3 * _xlpm._D ^ -10
)</f>
        <v>-46571.988715104359</v>
      </c>
      <c r="AQ21" s="31">
        <f ca="1"/>
        <v>-67671.843818782945</v>
      </c>
      <c r="AR21" s="31">
        <v>-3.120000000000001</v>
      </c>
      <c r="AT21" s="31">
        <f ca="1"/>
        <v>-23217.574344314758</v>
      </c>
      <c r="AU21" s="31">
        <v>7.4399999999999995</v>
      </c>
    </row>
    <row r="22" spans="9:47" ht="20.25" customHeight="1">
      <c r="J22" s="33" t="s">
        <v>289</v>
      </c>
      <c r="K22" s="32">
        <f>prm!E5</f>
        <v>0.2</v>
      </c>
      <c r="L22" s="31" t="s">
        <v>84</v>
      </c>
      <c r="Z22" s="33"/>
      <c r="AQ22" s="31">
        <f ca="1"/>
        <v>-63960.333102474848</v>
      </c>
      <c r="AR22" s="31">
        <v>-2.6400000000000006</v>
      </c>
      <c r="AT22" s="31">
        <f ca="1"/>
        <v>-22949.840559041233</v>
      </c>
      <c r="AU22" s="31">
        <v>7.68</v>
      </c>
    </row>
    <row r="23" spans="9:47" ht="20.25" customHeight="1">
      <c r="J23" s="33" t="s">
        <v>287</v>
      </c>
      <c r="K23" s="32">
        <f>prm!F5</f>
        <v>1</v>
      </c>
      <c r="L23" s="31" t="s">
        <v>84</v>
      </c>
      <c r="P23" s="31" t="s">
        <v>281</v>
      </c>
      <c r="Y23" s="31" t="s">
        <v>280</v>
      </c>
      <c r="AQ23" s="31">
        <f ca="1"/>
        <v>-60415.811879033208</v>
      </c>
      <c r="AR23" s="31">
        <v>-2.16</v>
      </c>
      <c r="AT23" s="31">
        <f ca="1"/>
        <v>-22700.858809588408</v>
      </c>
      <c r="AU23" s="31">
        <v>7.92</v>
      </c>
    </row>
    <row r="24" spans="9:47" ht="20.25" customHeight="1">
      <c r="Q24" s="33" t="s">
        <v>279</v>
      </c>
      <c r="R24" s="31" t="b">
        <f ca="1">_xlfn.LET(
    _xlpm._C_f_c, R9,
    _xlpm._C_f_min, R17,
    _xlpm._C_f_max, R21,
    AND(_xlpm._C_f_min &lt;= _xlpm._C_f_c, _xlpm._C_f_c &lt;= _xlpm._C_f_max)
)</f>
        <v>1</v>
      </c>
      <c r="Z24" s="33" t="s">
        <v>278</v>
      </c>
      <c r="AA24" s="31">
        <f>_xlfn.LET(
    _xlpm._N_r, K21,
    _xlpm._R_N_min, K22,
    _xlpm._N_r * _xlpm._R_N_min
)</f>
        <v>6</v>
      </c>
      <c r="AB24" s="31" t="s">
        <v>104</v>
      </c>
      <c r="AQ24" s="31">
        <f ca="1"/>
        <v>-57040.311810398576</v>
      </c>
      <c r="AR24" s="31">
        <v>-1.6799999999999997</v>
      </c>
      <c r="AT24" s="31">
        <f ca="1"/>
        <v>-22469.247411583823</v>
      </c>
      <c r="AU24" s="31">
        <v>8.16</v>
      </c>
    </row>
    <row r="25" spans="9:47" ht="20.25" customHeight="1">
      <c r="I25" s="31" t="s">
        <v>284</v>
      </c>
      <c r="Z25" s="33" t="s">
        <v>277</v>
      </c>
      <c r="AA25" s="31">
        <f>_xlfn.LET(
    _xlpm._N_r, K21,
    _xlpm._R_N_max, K23,
    _xlpm._N_r * _xlpm._R_N_max
)</f>
        <v>30</v>
      </c>
      <c r="AB25" s="31" t="s">
        <v>104</v>
      </c>
      <c r="AQ25" s="31">
        <f ca="1"/>
        <v>-53835.248787362369</v>
      </c>
      <c r="AR25" s="31">
        <v>-1.1999999999999993</v>
      </c>
      <c r="AT25" s="31">
        <f ca="1"/>
        <v>-22253.586194958185</v>
      </c>
      <c r="AU25" s="31">
        <v>8.4</v>
      </c>
    </row>
    <row r="26" spans="9:47" ht="20.25" customHeight="1">
      <c r="J26" s="33" t="s">
        <v>235</v>
      </c>
      <c r="K26" s="32">
        <f>'C1'!E7</f>
        <v>-6.5039412408014396E-3</v>
      </c>
      <c r="Z26" s="33"/>
      <c r="AQ26" s="31">
        <f ca="1"/>
        <v>-50801.422929566776</v>
      </c>
      <c r="AR26" s="31">
        <v>-0.72000000000000064</v>
      </c>
      <c r="AT26" s="31">
        <f ca="1"/>
        <v>-22052.416503945369</v>
      </c>
      <c r="AU26" s="31">
        <v>8.64</v>
      </c>
    </row>
    <row r="27" spans="9:47" ht="20.25" customHeight="1">
      <c r="J27" s="33" t="s">
        <v>227</v>
      </c>
      <c r="K27" s="32">
        <f>'C1'!E8</f>
        <v>7.3953802908153773E-2</v>
      </c>
      <c r="Y27" s="31" t="s">
        <v>276</v>
      </c>
      <c r="AQ27" s="31">
        <f ca="1"/>
        <v>-47939.018585504789</v>
      </c>
      <c r="AR27" s="31">
        <v>-0.24000000000000021</v>
      </c>
      <c r="AT27" s="31">
        <f ca="1"/>
        <v>-21864.241197082461</v>
      </c>
      <c r="AU27" s="31">
        <v>8.879999999999999</v>
      </c>
    </row>
    <row r="28" spans="9:47" ht="20.25" customHeight="1">
      <c r="J28" s="33" t="s">
        <v>216</v>
      </c>
      <c r="K28" s="32">
        <f>'C1'!E9</f>
        <v>-0.35664959080564745</v>
      </c>
      <c r="Z28" s="33" t="s">
        <v>337</v>
      </c>
      <c r="AA28" s="31" cm="1">
        <f t="array" aca="1" ref="AA28" ca="1">_xlfn.LET(
    _xlpm._coefficient, TRANSPOSE(AA17:AA21),
    _xlpm._N, AA24,
    SUM(_xlpm._coefficient * _xlfn.HSTACK(_xlpm._N ^ {4,3,2,1}, 1))
)</f>
        <v>-25290.294935248814</v>
      </c>
      <c r="AQ28" s="31">
        <f ca="1"/>
        <v>-45247.604332520234</v>
      </c>
      <c r="AR28" s="31">
        <v>0.24000000000000021</v>
      </c>
      <c r="AT28" s="31">
        <f ca="1"/>
        <v>-21687.524647209666</v>
      </c>
      <c r="AU28" s="31">
        <v>9.120000000000001</v>
      </c>
    </row>
    <row r="29" spans="9:47" ht="20.25" customHeight="1">
      <c r="J29" s="33" t="s">
        <v>207</v>
      </c>
      <c r="K29" s="32">
        <f>'C1'!E10</f>
        <v>0.18566633997122894</v>
      </c>
      <c r="Z29" s="33" t="s">
        <v>338</v>
      </c>
      <c r="AA29" s="31" cm="1">
        <f t="array" aca="1" ref="AA29" ca="1">_xlfn.LET(
    _xlpm._coefficient, TRANSPOSE(AA17:AA21),
    _xlpm._N, AA25,
    SUM(_xlpm._coefficient * _xlfn.HSTACK(_xlpm._N ^ {4,3,2,1}, 1))
)</f>
        <v>222552.92387364747</v>
      </c>
      <c r="AQ29" s="31">
        <f ca="1"/>
        <v>-42726.132976807741</v>
      </c>
      <c r="AR29" s="31">
        <v>0.71999999999999886</v>
      </c>
      <c r="AT29" s="31">
        <f ca="1"/>
        <v>-21520.692741470419</v>
      </c>
      <c r="AU29" s="31">
        <v>9.36</v>
      </c>
    </row>
    <row r="30" spans="9:47" ht="20.25" customHeight="1">
      <c r="J30" s="33" t="s">
        <v>203</v>
      </c>
      <c r="K30" s="32">
        <f>'C1'!E11</f>
        <v>5.3703258323470777</v>
      </c>
      <c r="Z30" s="33" t="s">
        <v>275</v>
      </c>
      <c r="AA30" s="31" t="b">
        <f ca="1">_xlfn.LET(
    _xlpm._f_N_min, AA28,
    _xlpm._f_N_max, AA29,
    _xlpm._f_N_min * _xlpm._f_N_max &gt;= 0
)</f>
        <v>0</v>
      </c>
      <c r="AQ30" s="31">
        <f ca="1"/>
        <v>-40372.941553412733</v>
      </c>
      <c r="AR30" s="31">
        <v>1.1999999999999993</v>
      </c>
      <c r="AT30" s="31">
        <f ca="1"/>
        <v>-21362.132881311307</v>
      </c>
      <c r="AU30" s="31">
        <v>9.6</v>
      </c>
    </row>
    <row r="31" spans="9:47" ht="20.25" customHeight="1">
      <c r="Z31" s="33" t="s">
        <v>273</v>
      </c>
      <c r="AA31" s="31" t="b">
        <f ca="1">_xlfn.LET(
    _xlpm._f_N_min, AA28,
    _xlpm._f_N_max, AA29,
    _xlpm._epsilon, K37,
    _xlpm._f_N_min_is_one_of_the_roots, ABS(_xlpm._f_N_min) &lt;= _xlpm._epsilon,
    _xlpm._f_N_max_is_one_of_the_roots, ABS(_xlpm._f_N_max) &lt;= _xlpm._epsilon,
    _xlfn.XOR(
        _xlpm._f_N_min_is_one_of_the_roots,
        _xlpm._f_N_max_is_one_of_the_roots
    )
)</f>
        <v>0</v>
      </c>
      <c r="AQ31" s="31">
        <f ca="1"/>
        <v>-38185.751326231461</v>
      </c>
      <c r="AR31" s="31">
        <v>1.6799999999999997</v>
      </c>
      <c r="AT31" s="31">
        <f ca="1"/>
        <v>-21210.19398248208</v>
      </c>
      <c r="AU31" s="31">
        <v>9.84</v>
      </c>
    </row>
    <row r="32" spans="9:47" ht="20.25" customHeight="1">
      <c r="J32" s="33" t="s">
        <v>176</v>
      </c>
      <c r="K32" s="32" t="b">
        <f>'C1'!E18</f>
        <v>1</v>
      </c>
      <c r="Z32" s="33" t="s">
        <v>270</v>
      </c>
      <c r="AA32" s="31" t="e">
        <f ca="1">_xlfn.LET(
    _xlpm._f_N_min, AA28,
    _xlpm._f_N_max, AA29,
    _xlpm._epsilon, K37,
    _xlpm._f_N_min_is_one_of_the_roots, ABS(_xlpm._f_N_min) &lt;= _xlpm._epsilon,
    _xlpm._f_N_max_is_one_of_the_roots, ABS(_xlpm._f_N_max) &lt;= _xlpm._epsilon,
    IF(
        _xlfn.XOR(
            _xlpm._f_N_min_is_one_of_the_roots,
            _xlpm._f_N_max_is_one_of_the_roots
        ),
        IF(
            _xlpm._f_N_min_is_one_of_the_roots,
            _xlpm._f_N_min,
            IF(_xlpm._f_N_max_is_one_of_the_roots, _xlpm._f_N_max, NA())
        ),
        NA()
    )
)</f>
        <v>#N/A</v>
      </c>
      <c r="AQ32" s="31">
        <f ca="1"/>
        <v>-36161.667788010971</v>
      </c>
      <c r="AR32" s="31">
        <v>2.16</v>
      </c>
      <c r="AT32" s="31">
        <f ca="1"/>
        <v>-21063.186475035687</v>
      </c>
      <c r="AU32" s="31">
        <v>10.08</v>
      </c>
    </row>
    <row r="33" spans="9:47" ht="20.25" customHeight="1">
      <c r="J33" s="33" t="s">
        <v>172</v>
      </c>
      <c r="K33" s="32">
        <f>'C1'!E19</f>
        <v>0.28465364146978933</v>
      </c>
      <c r="L33" s="31" t="s">
        <v>50</v>
      </c>
      <c r="AQ33" s="31">
        <f ca="1"/>
        <v>-34297.180660349135</v>
      </c>
      <c r="AR33" s="31">
        <v>2.6400000000000006</v>
      </c>
      <c r="AT33" s="31">
        <f ca="1"/>
        <v>-20919.382303328242</v>
      </c>
      <c r="AU33" s="31">
        <v>10.32</v>
      </c>
    </row>
    <row r="34" spans="9:47" ht="20.25" customHeight="1">
      <c r="Y34" s="31" t="s">
        <v>268</v>
      </c>
      <c r="AQ34" s="31">
        <f ca="1"/>
        <v>-32588.163893694622</v>
      </c>
      <c r="AR34" s="31">
        <v>3.1199999999999992</v>
      </c>
      <c r="AT34" s="31">
        <f ca="1"/>
        <v>-20777.01492601903</v>
      </c>
      <c r="AU34" s="31">
        <v>10.559999999999999</v>
      </c>
    </row>
    <row r="35" spans="9:47" ht="20.25" customHeight="1">
      <c r="I35" s="31" t="s">
        <v>274</v>
      </c>
      <c r="Z35" s="33" t="s">
        <v>267</v>
      </c>
      <c r="AA35" s="31" t="b">
        <f ca="1">ISNUMBER(AA36)</f>
        <v>1</v>
      </c>
      <c r="AQ35" s="31">
        <f ca="1"/>
        <v>-31029.875667346903</v>
      </c>
      <c r="AR35" s="31">
        <v>3.5999999999999996</v>
      </c>
      <c r="AT35" s="31">
        <f ca="1"/>
        <v>-20634.279316070533</v>
      </c>
      <c r="AU35" s="31">
        <v>10.8</v>
      </c>
    </row>
    <row r="36" spans="9:47" ht="20.25" customHeight="1">
      <c r="J36" s="33" t="s">
        <v>272</v>
      </c>
      <c r="K36" s="32">
        <f>10^3</f>
        <v>1000</v>
      </c>
      <c r="L36" s="31" t="s">
        <v>271</v>
      </c>
      <c r="Z36" s="33" t="s">
        <v>266</v>
      </c>
      <c r="AA36" s="31" cm="1">
        <f t="array" aca="1" ref="AA36" ca="1">_xlfn.LET(
    _xlpm._a4, AA17,
    _xlpm._a3, AA18,
    _xlpm._a2, AA19,
    _xlpm._a1, AA20,
    _xlpm._a0, AA21,
    _xlpm._N_min, AA24,
    _xlpm._N_max, AA25,
    _xlpm._n_iteration_max, K36,
    _xlpm._epsilon, K37,
    _bisection.quartic_equation(
        _xlpm._a4,
        _xlpm._a3,
        _xlpm._a2,
        _xlpm._a1,
        _xlpm._a0,
        _xlpm._N_min,
        _xlpm._N_max,
        _xlpm._n_iteration_max,
        _xlpm._epsilon
    )
)</f>
        <v>18.98049920797348</v>
      </c>
      <c r="AB36" s="31" t="s">
        <v>104</v>
      </c>
      <c r="AQ36" s="31">
        <f ca="1"/>
        <v>-29616.958389456282</v>
      </c>
      <c r="AR36" s="31">
        <v>4.0799999999999983</v>
      </c>
      <c r="AT36" s="31">
        <f ca="1"/>
        <v>-20489.331960748365</v>
      </c>
      <c r="AU36" s="31">
        <v>11.04</v>
      </c>
    </row>
    <row r="37" spans="9:47" ht="20.25" customHeight="1">
      <c r="J37" s="33" t="s">
        <v>269</v>
      </c>
      <c r="K37" s="32">
        <f>10^-3</f>
        <v>1E-3</v>
      </c>
      <c r="AQ37" s="31">
        <f ca="1"/>
        <v>-28343.438697023848</v>
      </c>
      <c r="AR37" s="31">
        <v>4.5599999999999987</v>
      </c>
      <c r="AT37" s="31">
        <f ca="1"/>
        <v>-20340.290861621375</v>
      </c>
      <c r="AU37" s="31">
        <v>11.28</v>
      </c>
    </row>
    <row r="38" spans="9:47" ht="20.25" customHeight="1">
      <c r="AQ38" s="31">
        <f ca="1"/>
        <v>-27202.727455901513</v>
      </c>
      <c r="AR38" s="31">
        <v>5.0399999999999991</v>
      </c>
      <c r="AT38" s="31">
        <f ca="1"/>
        <v>-20185.235534561521</v>
      </c>
      <c r="AU38" s="31">
        <v>11.52</v>
      </c>
    </row>
    <row r="39" spans="9:47" ht="20.25" customHeight="1">
      <c r="AQ39" s="31">
        <f ca="1"/>
        <v>-26187.619760791989</v>
      </c>
      <c r="AR39" s="31">
        <v>5.52</v>
      </c>
      <c r="AT39" s="31">
        <f ca="1"/>
        <v>-20022.207009744001</v>
      </c>
      <c r="AU39" s="31">
        <v>11.76</v>
      </c>
    </row>
    <row r="40" spans="9:47" ht="20.25" customHeight="1">
      <c r="AQ40" s="31">
        <f ca="1"/>
        <v>-25290.294935248814</v>
      </c>
      <c r="AR40" s="31">
        <v>6</v>
      </c>
      <c r="AT40" s="31">
        <f ca="1"/>
        <v>-19849.207831647152</v>
      </c>
      <c r="AU40" s="31">
        <v>12</v>
      </c>
    </row>
    <row r="41" spans="9:47" ht="20.25" customHeight="1">
      <c r="AQ41" s="31">
        <f ca="1"/>
        <v>-24502.316531676319</v>
      </c>
      <c r="AR41" s="31">
        <v>6.48</v>
      </c>
      <c r="AT41" s="31">
        <f ca="1"/>
        <v>-19664.202059052477</v>
      </c>
      <c r="AU41" s="31">
        <v>12.24</v>
      </c>
    </row>
    <row r="42" spans="9:47" ht="20.25" customHeight="1">
      <c r="AQ42" s="31">
        <f ca="1"/>
        <v>-23814.632331329649</v>
      </c>
      <c r="AR42" s="31">
        <v>6.9600000000000009</v>
      </c>
      <c r="AT42" s="31">
        <f ca="1"/>
        <v>-19465.115265044682</v>
      </c>
      <c r="AU42" s="31">
        <v>12.48</v>
      </c>
    </row>
    <row r="43" spans="9:47" ht="20.25" customHeight="1">
      <c r="AQ43" s="31">
        <f ca="1"/>
        <v>-23217.574344314758</v>
      </c>
      <c r="AR43" s="31">
        <v>7.4399999999999977</v>
      </c>
      <c r="AT43" s="31">
        <f ca="1"/>
        <v>-19249.834537011637</v>
      </c>
      <c r="AU43" s="31">
        <v>12.719999999999999</v>
      </c>
    </row>
    <row r="44" spans="9:47" ht="20.25" customHeight="1">
      <c r="AQ44" s="31">
        <f ca="1"/>
        <v>-22700.858809588412</v>
      </c>
      <c r="AR44" s="31">
        <v>7.9200000000000017</v>
      </c>
      <c r="AT44" s="31">
        <f ca="1"/>
        <v>-19016.20847664441</v>
      </c>
      <c r="AU44" s="31">
        <v>12.96</v>
      </c>
    </row>
    <row r="45" spans="9:47" ht="20.25" customHeight="1">
      <c r="AQ45" s="31">
        <f ca="1"/>
        <v>-22253.586194958181</v>
      </c>
      <c r="AR45" s="31">
        <v>8.3999999999999986</v>
      </c>
      <c r="AT45" s="31">
        <f ca="1"/>
        <v>-18762.047199937173</v>
      </c>
      <c r="AU45" s="31">
        <v>13.2</v>
      </c>
    </row>
    <row r="46" spans="9:47" ht="20.25" customHeight="1">
      <c r="AQ46" s="31">
        <f ca="1"/>
        <v>-21864.241197082461</v>
      </c>
      <c r="AR46" s="31">
        <v>8.879999999999999</v>
      </c>
      <c r="AT46" s="31">
        <f ca="1"/>
        <v>-18485.122337187371</v>
      </c>
      <c r="AU46" s="31">
        <v>13.44</v>
      </c>
    </row>
    <row r="47" spans="9:47" ht="20.25" customHeight="1">
      <c r="AQ47" s="31">
        <f ca="1"/>
        <v>-21520.692741470419</v>
      </c>
      <c r="AR47" s="31">
        <v>9.36</v>
      </c>
      <c r="AT47" s="31">
        <f ca="1"/>
        <v>-18183.167032995545</v>
      </c>
      <c r="AU47" s="31">
        <v>13.68</v>
      </c>
    </row>
    <row r="48" spans="9:47" ht="20.25" customHeight="1">
      <c r="AQ48" s="31">
        <f ca="1"/>
        <v>-21210.19398248208</v>
      </c>
      <c r="AR48" s="31">
        <v>9.84</v>
      </c>
      <c r="AT48" s="31">
        <f ca="1"/>
        <v>-17853.875946265463</v>
      </c>
      <c r="AU48" s="31">
        <v>13.92</v>
      </c>
    </row>
    <row r="49" spans="43:47" ht="20.25" customHeight="1">
      <c r="AQ49" s="31">
        <f ca="1"/>
        <v>-20919.382303328242</v>
      </c>
      <c r="AR49" s="31">
        <v>10.32</v>
      </c>
      <c r="AT49" s="31">
        <f ca="1"/>
        <v>-17494.90525020405</v>
      </c>
      <c r="AU49" s="31">
        <v>14.16</v>
      </c>
    </row>
    <row r="50" spans="43:47" ht="20.25" customHeight="1">
      <c r="AQ50" s="31">
        <f ca="1"/>
        <v>-20634.279316070533</v>
      </c>
      <c r="AR50" s="31">
        <v>10.8</v>
      </c>
      <c r="AT50" s="31">
        <f ca="1"/>
        <v>-17103.872632321378</v>
      </c>
      <c r="AU50" s="31">
        <v>14.4</v>
      </c>
    </row>
    <row r="51" spans="43:47" ht="20.25" customHeight="1">
      <c r="AQ51" s="31">
        <f ca="1"/>
        <v>-20340.290861621368</v>
      </c>
      <c r="AR51" s="31">
        <v>11.280000000000001</v>
      </c>
      <c r="AT51" s="31">
        <f ca="1"/>
        <v>-16678.357294430745</v>
      </c>
      <c r="AU51" s="31">
        <v>14.64</v>
      </c>
    </row>
    <row r="52" spans="43:47" ht="20.25" customHeight="1">
      <c r="AQ52" s="31">
        <f ca="1"/>
        <v>-20022.207009744016</v>
      </c>
      <c r="AR52" s="31">
        <v>11.759999999999998</v>
      </c>
      <c r="AT52" s="31">
        <f ca="1"/>
        <v>-16215.899952648608</v>
      </c>
      <c r="AU52" s="31">
        <v>14.879999999999999</v>
      </c>
    </row>
    <row r="53" spans="43:47" ht="20.25" customHeight="1">
      <c r="AQ53" s="31">
        <f ca="1"/>
        <v>-19664.202059052484</v>
      </c>
      <c r="AR53" s="31">
        <v>12.239999999999998</v>
      </c>
      <c r="AT53" s="31">
        <f ca="1"/>
        <v>-15714.002837394575</v>
      </c>
      <c r="AU53" s="31">
        <v>15.12</v>
      </c>
    </row>
    <row r="54" spans="43:47" ht="20.25" customHeight="1">
      <c r="AQ54" s="31">
        <f ca="1"/>
        <v>-19249.834537011637</v>
      </c>
      <c r="AR54" s="31">
        <v>12.719999999999999</v>
      </c>
      <c r="AT54" s="31">
        <f ca="1"/>
        <v>-15170.129693391464</v>
      </c>
      <c r="AU54" s="31">
        <v>15.36</v>
      </c>
    </row>
    <row r="55" spans="43:47" ht="20.25" customHeight="1">
      <c r="AQ55" s="31">
        <f ca="1"/>
        <v>-18762.047199937173</v>
      </c>
      <c r="AR55" s="31">
        <v>13.2</v>
      </c>
      <c r="AT55" s="31">
        <f ca="1"/>
        <v>-14581.705779665244</v>
      </c>
      <c r="AU55" s="31">
        <v>15.6</v>
      </c>
    </row>
    <row r="56" spans="43:47" ht="20.25" customHeight="1">
      <c r="AQ56" s="31">
        <f ca="1"/>
        <v>-18183.167032995545</v>
      </c>
      <c r="AR56" s="31">
        <v>13.68</v>
      </c>
      <c r="AT56" s="31">
        <f ca="1"/>
        <v>-13946.117869545058</v>
      </c>
      <c r="AU56" s="31">
        <v>15.84</v>
      </c>
    </row>
    <row r="57" spans="43:47" ht="20.25" customHeight="1">
      <c r="AQ57" s="31">
        <f ca="1"/>
        <v>-17494.90525020405</v>
      </c>
      <c r="AR57" s="31">
        <v>14.16</v>
      </c>
      <c r="AT57" s="31">
        <f ca="1"/>
        <v>-13260.714250663266</v>
      </c>
      <c r="AU57" s="31">
        <v>16.079999999999998</v>
      </c>
    </row>
    <row r="58" spans="43:47" ht="20.25" customHeight="1">
      <c r="AQ58" s="31">
        <f ca="1"/>
        <v>-16678.357294430745</v>
      </c>
      <c r="AR58" s="31">
        <v>14.64</v>
      </c>
      <c r="AT58" s="31">
        <f ca="1"/>
        <v>-12522.804724955327</v>
      </c>
      <c r="AU58" s="31">
        <v>16.32</v>
      </c>
    </row>
    <row r="59" spans="43:47" ht="20.25" customHeight="1">
      <c r="AQ59" s="31">
        <f ca="1"/>
        <v>-15714.00283739459</v>
      </c>
      <c r="AR59" s="31">
        <v>15.119999999999997</v>
      </c>
      <c r="AT59" s="31">
        <f ca="1"/>
        <v>-11729.660608659964</v>
      </c>
      <c r="AU59" s="31">
        <v>16.559999999999999</v>
      </c>
    </row>
    <row r="60" spans="43:47" ht="20.25" customHeight="1">
      <c r="AQ60" s="31">
        <f ca="1"/>
        <v>-14581.70577966523</v>
      </c>
      <c r="AR60" s="31">
        <v>15.599999999999998</v>
      </c>
      <c r="AT60" s="31">
        <f ca="1"/>
        <v>-10878.51473231901</v>
      </c>
      <c r="AU60" s="31">
        <v>16.799999999999997</v>
      </c>
    </row>
    <row r="61" spans="43:47" ht="20.25" customHeight="1">
      <c r="AQ61" s="31">
        <f ca="1"/>
        <v>-13260.714250663266</v>
      </c>
      <c r="AR61" s="31">
        <v>16.079999999999998</v>
      </c>
      <c r="AT61" s="31">
        <f ca="1"/>
        <v>-9966.5614407774992</v>
      </c>
      <c r="AU61" s="31">
        <v>17.04</v>
      </c>
    </row>
    <row r="62" spans="43:47" ht="20.25" customHeight="1">
      <c r="AQ62" s="31">
        <f ca="1"/>
        <v>-11729.660608659964</v>
      </c>
      <c r="AR62" s="31">
        <v>16.559999999999999</v>
      </c>
      <c r="AT62" s="31">
        <f ca="1"/>
        <v>-8990.9565931836187</v>
      </c>
      <c r="AU62" s="31">
        <v>17.28</v>
      </c>
    </row>
    <row r="63" spans="43:47" ht="20.25" customHeight="1">
      <c r="AQ63" s="31">
        <f ca="1"/>
        <v>-9966.5614407774992</v>
      </c>
      <c r="AR63" s="31">
        <v>17.04</v>
      </c>
      <c r="AT63" s="31">
        <f ca="1"/>
        <v>-7948.8175629887846</v>
      </c>
      <c r="AU63" s="31">
        <v>17.52</v>
      </c>
    </row>
    <row r="64" spans="43:47" ht="20.25" customHeight="1">
      <c r="AQ64" s="31">
        <f ca="1"/>
        <v>-7948.8175629887846</v>
      </c>
      <c r="AR64" s="31">
        <v>17.52</v>
      </c>
      <c r="AT64" s="31">
        <f ca="1"/>
        <v>-6837.2232379475754</v>
      </c>
      <c r="AU64" s="31">
        <v>17.759999999999998</v>
      </c>
    </row>
    <row r="65" spans="43:47" ht="20.25" customHeight="1">
      <c r="AQ65" s="31">
        <f ca="1"/>
        <v>-5653.2140201176298</v>
      </c>
      <c r="AR65" s="31">
        <v>18</v>
      </c>
      <c r="AT65" s="31">
        <f ca="1"/>
        <v>-5653.2140201176298</v>
      </c>
      <c r="AU65" s="31">
        <v>18</v>
      </c>
    </row>
    <row r="66" spans="43:47" ht="20.25" customHeight="1">
      <c r="AQ66" s="31">
        <f ca="1"/>
        <v>-3055.9200858385811</v>
      </c>
      <c r="AR66" s="31">
        <v>18.48</v>
      </c>
      <c r="AT66" s="31">
        <f ca="1"/>
        <v>-4393.7918258599384</v>
      </c>
      <c r="AU66" s="31">
        <v>18.240000000000002</v>
      </c>
    </row>
    <row r="67" spans="43:47" ht="20.25" customHeight="1">
      <c r="AQ67" s="31">
        <f ca="1"/>
        <v>-132.48926267700881</v>
      </c>
      <c r="AR67" s="31">
        <v>18.96</v>
      </c>
      <c r="AT67" s="31">
        <f ca="1"/>
        <v>-3055.9200858385811</v>
      </c>
      <c r="AU67" s="31">
        <v>18.48</v>
      </c>
    </row>
    <row r="68" spans="43:47" ht="20.25" customHeight="1">
      <c r="AQ68" s="31">
        <f ca="1"/>
        <v>3142.1407179908929</v>
      </c>
      <c r="AR68" s="31">
        <v>19.439999999999998</v>
      </c>
      <c r="AT68" s="31">
        <f ca="1"/>
        <v>-1636.5237450207715</v>
      </c>
      <c r="AU68" s="31">
        <v>18.72</v>
      </c>
    </row>
    <row r="69" spans="43:47" ht="20.25" customHeight="1">
      <c r="AQ69" s="31">
        <f ca="1"/>
        <v>6793.6478959381129</v>
      </c>
      <c r="AR69" s="31">
        <v>19.919999999999998</v>
      </c>
      <c r="AT69" s="31">
        <f ca="1"/>
        <v>-132.48926267700881</v>
      </c>
      <c r="AU69" s="31">
        <v>18.96</v>
      </c>
    </row>
    <row r="70" spans="43:47" ht="20.25" customHeight="1">
      <c r="AQ70" s="31">
        <f ca="1"/>
        <v>10848.326082086911</v>
      </c>
      <c r="AR70" s="31">
        <v>20.399999999999999</v>
      </c>
      <c r="AT70" s="31">
        <f ca="1"/>
        <v>1459.3353876191468</v>
      </c>
      <c r="AU70" s="31">
        <v>19.2</v>
      </c>
    </row>
    <row r="71" spans="43:47" ht="20.25" customHeight="1">
      <c r="AQ71" s="31">
        <f ca="1"/>
        <v>15333.08485850857</v>
      </c>
      <c r="AR71" s="31">
        <v>20.879999999999995</v>
      </c>
      <c r="AT71" s="31">
        <f ca="1"/>
        <v>3142.1407179908929</v>
      </c>
      <c r="AU71" s="31">
        <v>19.439999999999998</v>
      </c>
    </row>
    <row r="72" spans="43:47" ht="20.25" customHeight="1">
      <c r="AQ72" s="31">
        <f ca="1"/>
        <v>20275.449578423817</v>
      </c>
      <c r="AR72" s="31">
        <v>21.36</v>
      </c>
      <c r="AT72" s="31">
        <f ca="1"/>
        <v>4919.1557262582864</v>
      </c>
      <c r="AU72" s="31">
        <v>19.68</v>
      </c>
    </row>
    <row r="73" spans="43:47" ht="20.25" customHeight="1">
      <c r="AQ73" s="31">
        <f ca="1"/>
        <v>25703.561366202302</v>
      </c>
      <c r="AR73" s="31">
        <v>21.840000000000003</v>
      </c>
      <c r="AT73" s="31">
        <f ca="1"/>
        <v>6793.6478959381711</v>
      </c>
      <c r="AU73" s="31">
        <v>19.920000000000002</v>
      </c>
    </row>
    <row r="74" spans="43:47" ht="20.25" customHeight="1">
      <c r="AQ74" s="31">
        <f ca="1"/>
        <v>31646.177117362888</v>
      </c>
      <c r="AR74" s="31">
        <v>22.32</v>
      </c>
      <c r="AT74" s="31">
        <f ca="1"/>
        <v>8768.9231962441918</v>
      </c>
      <c r="AU74" s="31">
        <v>20.16</v>
      </c>
    </row>
    <row r="75" spans="43:47" ht="20.25" customHeight="1">
      <c r="AQ75" s="31">
        <f ca="1"/>
        <v>38132.66949857388</v>
      </c>
      <c r="AR75" s="31">
        <v>22.799999999999997</v>
      </c>
      <c r="AT75" s="31">
        <f ca="1"/>
        <v>10848.326082086911</v>
      </c>
      <c r="AU75" s="31">
        <v>20.399999999999999</v>
      </c>
    </row>
    <row r="76" spans="43:47" ht="20.25" customHeight="1">
      <c r="AQ76" s="31">
        <f ca="1"/>
        <v>45193.026947652681</v>
      </c>
      <c r="AR76" s="31">
        <v>23.28</v>
      </c>
      <c r="AT76" s="31">
        <f ca="1"/>
        <v>13035.239494073692</v>
      </c>
      <c r="AU76" s="31">
        <v>20.64</v>
      </c>
    </row>
    <row r="77" spans="43:47" ht="20.25" customHeight="1">
      <c r="AQ77" s="31">
        <f ca="1"/>
        <v>52857.853673565573</v>
      </c>
      <c r="AR77" s="31">
        <v>23.759999999999998</v>
      </c>
      <c r="AT77" s="31">
        <f ca="1"/>
        <v>15333.084858508613</v>
      </c>
      <c r="AU77" s="31">
        <v>20.88</v>
      </c>
    </row>
    <row r="78" spans="43:47" ht="20.25" customHeight="1">
      <c r="AQ78" s="31">
        <f ca="1"/>
        <v>61158.369656428426</v>
      </c>
      <c r="AR78" s="31">
        <v>24.239999999999995</v>
      </c>
      <c r="AT78" s="31">
        <f ca="1"/>
        <v>17745.322087392698</v>
      </c>
      <c r="AU78" s="31">
        <v>21.119999999999997</v>
      </c>
    </row>
    <row r="79" spans="43:47" ht="20.25" customHeight="1">
      <c r="AQ79" s="31">
        <f ca="1"/>
        <v>70126.410647506302</v>
      </c>
      <c r="AR79" s="31">
        <v>24.72</v>
      </c>
      <c r="AT79" s="31">
        <f ca="1"/>
        <v>20275.449578423817</v>
      </c>
      <c r="AU79" s="31">
        <v>21.36</v>
      </c>
    </row>
    <row r="80" spans="43:47" ht="20.25" customHeight="1">
      <c r="AQ80" s="31">
        <f ca="1"/>
        <v>79794.428169213119</v>
      </c>
      <c r="AR80" s="31">
        <v>25.200000000000003</v>
      </c>
      <c r="AT80" s="31">
        <f ca="1"/>
        <v>22927.004214996508</v>
      </c>
      <c r="AU80" s="31">
        <v>21.6</v>
      </c>
    </row>
    <row r="81" spans="43:47" ht="20.25" customHeight="1">
      <c r="AQ81" s="31">
        <f ca="1"/>
        <v>90195.489515112073</v>
      </c>
      <c r="AR81" s="31">
        <v>25.68</v>
      </c>
      <c r="AT81" s="31">
        <f ca="1"/>
        <v>25703.56136620223</v>
      </c>
      <c r="AU81" s="31">
        <v>21.84</v>
      </c>
    </row>
    <row r="82" spans="43:47" ht="20.25" customHeight="1">
      <c r="AQ82" s="31">
        <f ca="1"/>
        <v>101363.27774991575</v>
      </c>
      <c r="AR82" s="31">
        <v>26.159999999999997</v>
      </c>
      <c r="AT82" s="31">
        <f ca="1"/>
        <v>28608.734886829327</v>
      </c>
      <c r="AU82" s="31">
        <v>22.08</v>
      </c>
    </row>
    <row r="83" spans="43:47" ht="20.25" customHeight="1">
      <c r="AQ83" s="31">
        <f ca="1"/>
        <v>113332.09170948601</v>
      </c>
      <c r="AR83" s="31">
        <v>26.64</v>
      </c>
      <c r="AT83" s="31">
        <f ca="1"/>
        <v>31646.177117362888</v>
      </c>
      <c r="AU83" s="31">
        <v>22.32</v>
      </c>
    </row>
    <row r="84" spans="43:47" ht="20.25" customHeight="1">
      <c r="AQ84" s="31">
        <f ca="1"/>
        <v>126136.84600083332</v>
      </c>
      <c r="AR84" s="31">
        <v>27.119999999999997</v>
      </c>
      <c r="AT84" s="31">
        <f ca="1"/>
        <v>34819.578883984832</v>
      </c>
      <c r="AU84" s="31">
        <v>22.56</v>
      </c>
    </row>
    <row r="85" spans="43:47" ht="20.25" customHeight="1">
      <c r="AQ85" s="31">
        <f ca="1"/>
        <v>139813.07100211823</v>
      </c>
      <c r="AR85" s="31">
        <v>27.6</v>
      </c>
      <c r="AT85" s="31">
        <f ca="1"/>
        <v>38132.669498573938</v>
      </c>
      <c r="AU85" s="31">
        <v>22.8</v>
      </c>
    </row>
    <row r="86" spans="43:47" ht="20.25" customHeight="1">
      <c r="AQ86" s="31">
        <f ca="1"/>
        <v>154396.91286264954</v>
      </c>
      <c r="AR86" s="31">
        <v>28.08</v>
      </c>
      <c r="AT86" s="31">
        <f ca="1"/>
        <v>41589.216758705712</v>
      </c>
      <c r="AU86" s="31">
        <v>23.04</v>
      </c>
    </row>
    <row r="87" spans="43:47" ht="20.25" customHeight="1">
      <c r="AQ87" s="31">
        <f ca="1"/>
        <v>169925.13350288602</v>
      </c>
      <c r="AR87" s="31">
        <v>28.560000000000002</v>
      </c>
      <c r="AT87" s="31">
        <f ca="1"/>
        <v>45193.026947652681</v>
      </c>
      <c r="AU87" s="31">
        <v>23.28</v>
      </c>
    </row>
    <row r="88" spans="43:47" ht="20.25" customHeight="1">
      <c r="AQ88" s="31">
        <f ca="1"/>
        <v>186435.11061443502</v>
      </c>
      <c r="AR88" s="31">
        <v>29.04</v>
      </c>
      <c r="AT88" s="31">
        <f ca="1"/>
        <v>48947.944834383925</v>
      </c>
      <c r="AU88" s="31">
        <v>23.52</v>
      </c>
    </row>
    <row r="89" spans="43:47" ht="20.25" customHeight="1">
      <c r="AQ89" s="31">
        <f ca="1"/>
        <v>203964.83766005331</v>
      </c>
      <c r="AR89" s="31">
        <v>29.519999999999996</v>
      </c>
      <c r="AT89" s="31">
        <f ca="1"/>
        <v>52857.853673565573</v>
      </c>
      <c r="AU89" s="31">
        <v>23.759999999999998</v>
      </c>
    </row>
    <row r="90" spans="43:47" ht="20.25" customHeight="1">
      <c r="AQ90" s="31">
        <f ca="1"/>
        <v>222552.92387364747</v>
      </c>
      <c r="AR90" s="31">
        <v>30</v>
      </c>
      <c r="AT90" s="31">
        <f ca="1"/>
        <v>56926.675205560568</v>
      </c>
      <c r="AU90" s="31">
        <v>24</v>
      </c>
    </row>
    <row r="91" spans="43:47" ht="20.25" customHeight="1">
      <c r="AQ91" s="31">
        <f ca="1"/>
        <v>242238.59426027193</v>
      </c>
      <c r="AR91" s="31">
        <v>30.479999999999997</v>
      </c>
      <c r="AT91" s="31">
        <f ca="1"/>
        <v>61158.369656428484</v>
      </c>
      <c r="AU91" s="31">
        <v>24.24</v>
      </c>
    </row>
    <row r="92" spans="43:47" ht="20.25" customHeight="1">
      <c r="AQ92" s="31">
        <f ca="1"/>
        <v>263061.68959613174</v>
      </c>
      <c r="AR92" s="31">
        <v>30.96</v>
      </c>
      <c r="AT92" s="31">
        <f ca="1"/>
        <v>65556.935737926018</v>
      </c>
      <c r="AU92" s="31">
        <v>24.48</v>
      </c>
    </row>
    <row r="93" spans="43:47" ht="20.25" customHeight="1">
      <c r="AQ93" s="31">
        <f ca="1"/>
        <v>285062.66642858001</v>
      </c>
      <c r="AR93" s="31">
        <v>31.439999999999998</v>
      </c>
      <c r="AT93" s="31">
        <f ca="1"/>
        <v>70126.410647506302</v>
      </c>
      <c r="AU93" s="31">
        <v>24.72</v>
      </c>
    </row>
    <row r="94" spans="43:47" ht="20.25" customHeight="1">
      <c r="AQ94" s="31">
        <f ca="1"/>
        <v>308282.59707612015</v>
      </c>
      <c r="AR94" s="31">
        <v>31.92</v>
      </c>
      <c r="AT94" s="31">
        <f ca="1"/>
        <v>74870.870068319666</v>
      </c>
      <c r="AU94" s="31">
        <v>24.96</v>
      </c>
    </row>
    <row r="95" spans="43:47" ht="20.25" customHeight="1">
      <c r="AQ95" s="31">
        <f ca="1"/>
        <v>332763.16962840309</v>
      </c>
      <c r="AR95" s="31">
        <v>32.4</v>
      </c>
      <c r="AT95" s="31">
        <f ca="1"/>
        <v>79794.428169213032</v>
      </c>
      <c r="AU95" s="31">
        <v>25.2</v>
      </c>
    </row>
    <row r="96" spans="43:47" ht="20.25" customHeight="1">
      <c r="AQ96" s="31">
        <f ca="1"/>
        <v>358546.68794623041</v>
      </c>
      <c r="AR96" s="31">
        <v>32.879999999999995</v>
      </c>
      <c r="AT96" s="31">
        <f ca="1"/>
        <v>84901.237604730239</v>
      </c>
      <c r="AU96" s="31">
        <v>25.439999999999998</v>
      </c>
    </row>
    <row r="97" spans="43:47" ht="20.25" customHeight="1">
      <c r="AQ97" s="31">
        <f ca="1"/>
        <v>385676.07166155323</v>
      </c>
      <c r="AR97" s="31">
        <v>33.36</v>
      </c>
      <c r="AT97" s="31">
        <f ca="1"/>
        <v>90195.489515112073</v>
      </c>
      <c r="AU97" s="31">
        <v>25.68</v>
      </c>
    </row>
    <row r="98" spans="43:47" ht="20.25" customHeight="1">
      <c r="AQ98" s="31">
        <f ca="1"/>
        <v>414194.8561774703</v>
      </c>
      <c r="AR98" s="31">
        <v>33.839999999999996</v>
      </c>
      <c r="AT98" s="31">
        <f ca="1"/>
        <v>95681.413526295742</v>
      </c>
      <c r="AU98" s="31">
        <v>25.919999999999998</v>
      </c>
    </row>
    <row r="99" spans="43:47" ht="20.25" customHeight="1">
      <c r="AQ99" s="31">
        <f ca="1"/>
        <v>444147.19266823045</v>
      </c>
      <c r="AR99" s="31">
        <v>34.32</v>
      </c>
      <c r="AT99" s="31">
        <f ca="1"/>
        <v>101363.27774991578</v>
      </c>
      <c r="AU99" s="31">
        <v>26.16</v>
      </c>
    </row>
    <row r="100" spans="43:47" ht="20.25" customHeight="1">
      <c r="AQ100" s="31">
        <f ca="1"/>
        <v>475577.84807923139</v>
      </c>
      <c r="AR100" s="31">
        <v>34.799999999999997</v>
      </c>
      <c r="AT100" s="31">
        <f ca="1"/>
        <v>107245.38878330321</v>
      </c>
      <c r="AU100" s="31">
        <v>26.4</v>
      </c>
    </row>
    <row r="101" spans="43:47" ht="20.25" customHeight="1">
      <c r="AQ101" s="31">
        <f ca="1"/>
        <v>508532.20512702089</v>
      </c>
      <c r="AR101" s="31">
        <v>35.28</v>
      </c>
      <c r="AT101" s="31">
        <f ca="1"/>
        <v>113332.09170948601</v>
      </c>
      <c r="AU101" s="31">
        <v>26.64</v>
      </c>
    </row>
    <row r="102" spans="43:47" ht="20.25" customHeight="1">
      <c r="AQ102" s="31">
        <f ca="1"/>
        <v>543056.26229929447</v>
      </c>
      <c r="AR102" s="31">
        <v>35.76</v>
      </c>
      <c r="AT102" s="31">
        <f ca="1"/>
        <v>119627.7700971888</v>
      </c>
      <c r="AU102" s="31">
        <v>26.88</v>
      </c>
    </row>
    <row r="103" spans="43:47" ht="20.25" customHeight="1">
      <c r="AQ103" s="31">
        <f ca="1"/>
        <v>579196.63385489804</v>
      </c>
      <c r="AR103" s="31">
        <v>36.239999999999995</v>
      </c>
      <c r="AT103" s="31">
        <f ca="1"/>
        <v>126136.84600083332</v>
      </c>
      <c r="AU103" s="31">
        <v>27.119999999999997</v>
      </c>
    </row>
    <row r="104" spans="43:47" ht="20.25" customHeight="1">
      <c r="AQ104" s="31">
        <f ca="1"/>
        <v>617000.54982382664</v>
      </c>
      <c r="AR104" s="31">
        <v>36.72</v>
      </c>
      <c r="AT104" s="31">
        <f ca="1"/>
        <v>132863.77996053814</v>
      </c>
      <c r="AU104" s="31">
        <v>27.36</v>
      </c>
    </row>
    <row r="105" spans="43:47" ht="20.25" customHeight="1">
      <c r="AQ105" s="31">
        <f ca="1"/>
        <v>656515.85600722337</v>
      </c>
      <c r="AR105" s="31">
        <v>37.199999999999996</v>
      </c>
      <c r="AT105" s="31">
        <f ca="1"/>
        <v>139813.07100211809</v>
      </c>
      <c r="AU105" s="31">
        <v>27.599999999999998</v>
      </c>
    </row>
    <row r="106" spans="43:47" ht="20.25" customHeight="1">
      <c r="AQ106" s="31">
        <f ca="1"/>
        <v>697791.0139773821</v>
      </c>
      <c r="AR106" s="31">
        <v>37.68</v>
      </c>
      <c r="AT106" s="31">
        <f ca="1"/>
        <v>146989.25663708572</v>
      </c>
      <c r="AU106" s="31">
        <v>27.84</v>
      </c>
    </row>
    <row r="107" spans="43:47" ht="20.25" customHeight="1">
      <c r="AQ107" s="31">
        <f ca="1"/>
        <v>740875.10107774392</v>
      </c>
      <c r="AR107" s="31">
        <v>38.159999999999997</v>
      </c>
      <c r="AT107" s="31">
        <f ca="1"/>
        <v>154396.91286264954</v>
      </c>
      <c r="AU107" s="31">
        <v>28.08</v>
      </c>
    </row>
    <row r="108" spans="43:47" ht="20.25" customHeight="1">
      <c r="AQ108" s="31">
        <f ca="1"/>
        <v>785817.81042290188</v>
      </c>
      <c r="AR108" s="31">
        <v>38.64</v>
      </c>
      <c r="AT108" s="31">
        <f ca="1"/>
        <v>162040.6541617155</v>
      </c>
      <c r="AU108" s="31">
        <v>28.32</v>
      </c>
    </row>
    <row r="109" spans="43:47" ht="20.25" customHeight="1">
      <c r="AQ109" s="31">
        <f ca="1"/>
        <v>832669.45089859492</v>
      </c>
      <c r="AR109" s="31">
        <v>39.119999999999997</v>
      </c>
      <c r="AT109" s="31">
        <f ca="1"/>
        <v>169925.13350288599</v>
      </c>
      <c r="AU109" s="31">
        <v>28.56</v>
      </c>
    </row>
    <row r="110" spans="43:47" ht="20.25" customHeight="1">
      <c r="AQ110" s="31">
        <f ca="1"/>
        <v>881480.94716171443</v>
      </c>
      <c r="AR110" s="31">
        <v>39.6</v>
      </c>
      <c r="AT110" s="31">
        <f ca="1"/>
        <v>178055.04234046041</v>
      </c>
      <c r="AU110" s="31">
        <v>28.8</v>
      </c>
    </row>
    <row r="111" spans="43:47" ht="20.25" customHeight="1">
      <c r="AQ111" s="31">
        <f ca="1"/>
        <v>932303.83964029769</v>
      </c>
      <c r="AR111" s="31">
        <v>40.08</v>
      </c>
      <c r="AT111" s="31">
        <f ca="1"/>
        <v>186435.11061443502</v>
      </c>
      <c r="AU111" s="31">
        <v>29.04</v>
      </c>
    </row>
    <row r="112" spans="43:47" ht="20.25" customHeight="1">
      <c r="AQ112" s="31">
        <f ca="1"/>
        <v>985190.28453353455</v>
      </c>
      <c r="AR112" s="31">
        <v>40.559999999999995</v>
      </c>
      <c r="AT112" s="31">
        <f ca="1"/>
        <v>195070.10675050266</v>
      </c>
      <c r="AU112" s="31">
        <v>29.279999999999998</v>
      </c>
    </row>
    <row r="113" spans="43:47" ht="20.25" customHeight="1">
      <c r="AQ113" s="31">
        <f ca="1"/>
        <v>1040193.0538117617</v>
      </c>
      <c r="AR113" s="31">
        <v>41.04</v>
      </c>
      <c r="AT113" s="31">
        <f ca="1"/>
        <v>203964.83766005351</v>
      </c>
      <c r="AU113" s="31">
        <v>29.52</v>
      </c>
    </row>
    <row r="114" spans="43:47" ht="20.25" customHeight="1">
      <c r="AQ114" s="31">
        <f ca="1"/>
        <v>1097365.5352164656</v>
      </c>
      <c r="AR114" s="31">
        <v>41.519999999999996</v>
      </c>
      <c r="AT114" s="31">
        <f ca="1"/>
        <v>213124.14874017384</v>
      </c>
      <c r="AU114" s="31">
        <v>29.759999999999998</v>
      </c>
    </row>
    <row r="115" spans="43:47" ht="20.25" customHeight="1">
      <c r="AQ115" s="31">
        <f ca="1"/>
        <v>1156761.7322602826</v>
      </c>
      <c r="AR115" s="31">
        <v>42</v>
      </c>
      <c r="AT115" s="31">
        <f ca="1"/>
        <v>222552.92387364747</v>
      </c>
      <c r="AU115" s="31">
        <v>30</v>
      </c>
    </row>
  </sheetData>
  <sheetProtection algorithmName="SHA-512" hashValue="QDumnd+lQChcupi2uOKqzA8gfRyu2mNYVEFxivaq/PXuip83FUfeZqSLbzUY0KB5k2SDvUbyF402QHDEPnSktg==" saltValue="AcoTa13z52fv6SCptqv1/A==" spinCount="100000" sheet="1" objects="1" scenarios="1"/>
  <phoneticPr fontId="2"/>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006E6-8A27-4B0C-A3FF-265CFFDD9B97}">
  <sheetPr codeName="Sheet24">
    <tabColor theme="0" tint="-0.499984740745262"/>
  </sheetPr>
  <dimension ref="A1:AZ115"/>
  <sheetViews>
    <sheetView showGridLines="0" workbookViewId="0"/>
  </sheetViews>
  <sheetFormatPr defaultColWidth="3.375" defaultRowHeight="20.25" customHeight="1"/>
  <cols>
    <col min="1" max="2" width="3.375" style="31"/>
    <col min="3" max="3" width="27.75" style="31" bestFit="1" customWidth="1"/>
    <col min="4" max="4" width="10" style="31" bestFit="1" customWidth="1"/>
    <col min="5" max="5" width="3.75" style="31" bestFit="1" customWidth="1"/>
    <col min="6" max="9" width="3.375" style="31"/>
    <col min="10" max="10" width="38.75" style="31" bestFit="1" customWidth="1"/>
    <col min="11" max="11" width="9.375" style="31" customWidth="1"/>
    <col min="12" max="12" width="5.375" style="31" bestFit="1" customWidth="1"/>
    <col min="13" max="14" width="3.375" style="31"/>
    <col min="15" max="15" width="3.75" style="31" bestFit="1" customWidth="1"/>
    <col min="16" max="16" width="3.75" style="31" customWidth="1"/>
    <col min="17" max="17" width="27.625" style="31" bestFit="1" customWidth="1"/>
    <col min="18" max="18" width="15.875" style="31" customWidth="1"/>
    <col min="19" max="22" width="3.75" style="31" customWidth="1"/>
    <col min="23" max="25" width="3.375" style="31"/>
    <col min="26" max="26" width="21.375" style="31" bestFit="1" customWidth="1"/>
    <col min="27" max="27" width="21" style="31" bestFit="1" customWidth="1"/>
    <col min="28" max="28" width="3.75" style="31" bestFit="1" customWidth="1"/>
    <col min="29" max="42" width="3.375" style="31"/>
    <col min="43" max="44" width="8.125" style="31" customWidth="1"/>
    <col min="45" max="45" width="3.375" style="31" customWidth="1"/>
    <col min="46" max="47" width="8.125" style="31" customWidth="1"/>
    <col min="48" max="49" width="3.375" style="31"/>
    <col min="50" max="50" width="13.125" style="31" bestFit="1" customWidth="1"/>
    <col min="51" max="51" width="13.25" style="31" customWidth="1"/>
    <col min="52" max="52" width="4.25" style="31" bestFit="1" customWidth="1"/>
    <col min="53" max="16384" width="3.375" style="31"/>
  </cols>
  <sheetData>
    <row r="1" spans="1:52" s="40" customFormat="1" ht="20.25" customHeight="1">
      <c r="A1" s="40" t="s">
        <v>509</v>
      </c>
    </row>
    <row r="2" spans="1:52" s="40" customFormat="1" ht="30">
      <c r="B2" s="41" t="str">
        <f ca="1">_xlfn.LET(
    _xlpm._header, "回転数を数値計算で求める",
    _xlpm._numbering, IFERROR(K8,K9),
    _xlpm._header &amp; "（要求条件番号：" &amp; _xlpm._numbering &amp; "）"
)</f>
        <v>回転数を数値計算で求める（要求条件番号：3）</v>
      </c>
    </row>
    <row r="3" spans="1:52" s="39" customFormat="1" ht="7.5" customHeight="1"/>
    <row r="5" spans="1:52" ht="20.25" customHeight="1">
      <c r="B5" s="31" t="s">
        <v>102</v>
      </c>
      <c r="G5" s="31" t="s">
        <v>101</v>
      </c>
      <c r="N5" s="31" t="s">
        <v>303</v>
      </c>
    </row>
    <row r="6" spans="1:52" ht="20.25" customHeight="1">
      <c r="C6" s="31" t="s">
        <v>302</v>
      </c>
      <c r="D6" s="31">
        <f ca="1">AY7</f>
        <v>17.881303310394287</v>
      </c>
      <c r="E6" s="31" t="s">
        <v>104</v>
      </c>
      <c r="H6" s="31" t="s">
        <v>99</v>
      </c>
      <c r="O6" s="31" t="s">
        <v>301</v>
      </c>
      <c r="V6" s="31" t="s">
        <v>300</v>
      </c>
      <c r="AW6" s="31" t="s">
        <v>299</v>
      </c>
    </row>
    <row r="7" spans="1:52" ht="20.25" customHeight="1">
      <c r="I7" s="31" t="s">
        <v>343</v>
      </c>
      <c r="AX7" s="33" t="s">
        <v>266</v>
      </c>
      <c r="AY7" s="31">
        <f ca="1">_xlfn.LET(
    _xlpm._N_bisection, AA36,
    _xlpm._N_initial, AA32,
    _xlpm._initial_values_are_invalid, AA30,
    _xlpm._m_c_is_out_of_range, NOT(R24),
    _xlpm._N_initial_is_one_of_the_roots, AA31,
    _xlpm._converged, AA35,
    IF(
        OR(
            _xlpm._initial_values_are_invalid,
            _xlpm._m_c_is_out_of_range
        ),
        NA(),
        IF(
            _xlpm._N_initial_is_one_of_the_roots,
            _xlpm._N_initial,
            IF(_xlpm._converged, _xlpm._N_bisection, NA())
        )
    )
)</f>
        <v>17.881303310394287</v>
      </c>
      <c r="AZ7" s="31" t="s">
        <v>104</v>
      </c>
    </row>
    <row r="8" spans="1:52" ht="20.25" customHeight="1">
      <c r="J8" s="33" t="s">
        <v>344</v>
      </c>
      <c r="K8" s="53" cm="1">
        <f t="array" aca="1" ref="K8" ca="1">_xlfn.LET(
    _xlpm._name_sheet, _xlfn.TEXTAFTER(
        _xlfn.TAKE(_xlfn.TEXTSPLIT( CELL("filename",A1), , "\"), -1),
        "]"
    ),
   VALUE(_xlfn.TEXTAFTER(_xlpm._name_sheet, "_"))
)</f>
        <v>3</v>
      </c>
    </row>
    <row r="9" spans="1:52" ht="20.25" customHeight="1">
      <c r="J9" s="33" t="s">
        <v>345</v>
      </c>
      <c r="K9" s="32">
        <v>3</v>
      </c>
      <c r="Q9" s="33" t="s">
        <v>295</v>
      </c>
      <c r="R9" s="31">
        <f ca="1">_xlfn.LET(
    _xlpm._m_c, K10,
    _xlpm._rho, K13,
    _xlpm._N_r, K21,
    _xlpm._D, K20,
    _xlpm._m_c * _xlpm._rho ^ -1 * _xlpm._N_r ^ -1 * _xlpm._D ^ -3
)</f>
        <v>2.3611111111111112</v>
      </c>
      <c r="S9" s="31" t="s">
        <v>84</v>
      </c>
    </row>
    <row r="10" spans="1:52" ht="20.25" customHeight="1">
      <c r="J10" s="33" t="s">
        <v>298</v>
      </c>
      <c r="K10" s="32" cm="1">
        <f t="array" aca="1" ref="K10" ca="1">_xlfn.LET(
    _xlpm._m_c,_xlfn.ANCHORARRAY( prm!A5),
    _xlpm._numbering, IFERROR(K8,K9),
    INDEX(_xlpm._m_c, _xlpm._numbering)
)</f>
        <v>1912.5</v>
      </c>
      <c r="L10" s="31" t="s">
        <v>92</v>
      </c>
      <c r="AR10" s="48" t="s">
        <v>210</v>
      </c>
    </row>
    <row r="11" spans="1:52" ht="20.25" customHeight="1">
      <c r="J11" s="33" t="s">
        <v>297</v>
      </c>
      <c r="K11" s="32" cm="1">
        <f t="array" aca="1" ref="K11" ca="1">_xlfn.LET(
    _xlpm._dP_c,_xlfn.ANCHORARRAY( prm!B5),
    _xlpm._numbering, IFERROR(K8,K9),
    INDEX(_xlpm._dP_c, _xlpm._numbering)
)</f>
        <v>100.85599999999999</v>
      </c>
      <c r="L11" s="31" t="s">
        <v>296</v>
      </c>
      <c r="P11" s="31" t="s">
        <v>294</v>
      </c>
      <c r="AR11" s="32">
        <v>1</v>
      </c>
      <c r="AT11" s="31" t="s">
        <v>336</v>
      </c>
    </row>
    <row r="12" spans="1:52" ht="20.25" customHeight="1">
      <c r="I12" s="31" t="s">
        <v>342</v>
      </c>
      <c r="J12" s="33"/>
      <c r="K12" s="33"/>
      <c r="L12" s="33"/>
      <c r="AQ12" s="37" t="s">
        <v>202</v>
      </c>
      <c r="AR12" s="37" t="s">
        <v>201</v>
      </c>
      <c r="AT12" s="37" t="s">
        <v>202</v>
      </c>
      <c r="AU12" s="37" t="s">
        <v>201</v>
      </c>
    </row>
    <row r="13" spans="1:52" ht="20.25" customHeight="1">
      <c r="J13" s="33" t="s">
        <v>115</v>
      </c>
      <c r="K13" s="32">
        <f>10^3</f>
        <v>1000</v>
      </c>
      <c r="L13" s="31" t="s">
        <v>114</v>
      </c>
      <c r="AQ13" s="47" t="s">
        <v>335</v>
      </c>
      <c r="AR13" s="47" t="s">
        <v>334</v>
      </c>
      <c r="AT13" s="47" t="s">
        <v>335</v>
      </c>
      <c r="AU13" s="47" t="s">
        <v>334</v>
      </c>
    </row>
    <row r="14" spans="1:52" ht="20.25" customHeight="1">
      <c r="J14" s="33"/>
      <c r="AQ14" s="35" t="s">
        <v>84</v>
      </c>
      <c r="AR14" s="35" t="s">
        <v>84</v>
      </c>
      <c r="AT14" s="35" t="s">
        <v>84</v>
      </c>
      <c r="AU14" s="35" t="s">
        <v>84</v>
      </c>
    </row>
    <row r="15" spans="1:52" ht="20.25" customHeight="1">
      <c r="I15" s="31" t="s">
        <v>529</v>
      </c>
      <c r="X15" s="31" t="s">
        <v>293</v>
      </c>
      <c r="AQ15" s="31" cm="1">
        <f t="array" aca="1" ref="AQ15:AQ115" ca="1">_xlfn.LET(
    _xlpm._coefficient, TRANSPOSE(AA17:AA21),
    _xlpm._values_N,_xlfn.ANCHORARRAY( AR15),
    _xlfn.MAP(
        _xlpm._values_N,
        _xlfn.LAMBDA(_xlpm._N,
            SUM(
                _xlpm._coefficient *
                    _xlfn.HSTACK(_xlpm._N ^ {4,3,2,1}, 1)
            )
        )
    )
)</f>
        <v>-37986.311713406314</v>
      </c>
      <c r="AR15" s="31" cm="1">
        <f t="array" ref="AR15:AR115">_xlfn.LET(
    _xlpm._number_divisions, 100,
    _xlpm._rate_extrapolation, AR11,
    _xlpm._N0, AA24,
    _xlpm._N1, AA25,
    _xlpm._extrapolation, (_xlpm._N1 - _xlpm._N0) * _xlpm._rate_extrapolation,
    ((_xlpm._N1 - _xlpm._N0) + _xlpm._extrapolation) / _xlpm._number_divisions *
        (_xlfn.SEQUENCE(_xlpm._number_divisions + 1) - 1) + _xlpm._N0 -
        _xlpm._extrapolation / 2
)</f>
        <v>-6</v>
      </c>
      <c r="AT15" s="31" cm="1">
        <f t="array" aca="1" ref="AT15:AT115" ca="1">_xlfn.LET(
    _xlpm._coefficient, TRANSPOSE(AA17:AA21),
    _xlpm._values_N,_xlfn.ANCHORARRAY( AU15),
    _xlfn.MAP(
        _xlpm._values_N,
        _xlfn.LAMBDA(_xlpm._N,
            SUM(
                _xlpm._coefficient *
                    _xlfn.HSTACK(_xlpm._N ^ {4,3,2,1}, 1)
            )
        )
    )
)</f>
        <v>-9089.4371062693408</v>
      </c>
      <c r="AU15" s="31" cm="1">
        <f t="array" ref="AU15:AU115">_xlfn.LET(
    _xlpm._number_divisions, 100,
    _xlpm._N0, AA24,
    _xlpm._N1, AA25,
    (_xlpm._N1 - _xlpm._N0) / _xlpm._number_divisions *
        (_xlfn.SEQUENCE(_xlpm._number_divisions + 1) - 1) + _xlpm._N0
)</f>
        <v>6</v>
      </c>
    </row>
    <row r="16" spans="1:52" ht="20.25" customHeight="1">
      <c r="J16" s="33" t="s">
        <v>530</v>
      </c>
      <c r="K16" s="32">
        <f>'C1'!E14</f>
        <v>1.832382785185185E-2</v>
      </c>
      <c r="L16" s="31" t="s">
        <v>5</v>
      </c>
      <c r="Y16" s="31" t="s">
        <v>292</v>
      </c>
      <c r="AQ16" s="31">
        <f ca="1"/>
        <v>-35523.725419518851</v>
      </c>
      <c r="AR16" s="31">
        <v>-5.52</v>
      </c>
      <c r="AT16" s="31">
        <f ca="1"/>
        <v>-9152.7783821878747</v>
      </c>
      <c r="AU16" s="31">
        <v>6.24</v>
      </c>
    </row>
    <row r="17" spans="9:47" ht="20.25" customHeight="1">
      <c r="J17" s="33" t="s">
        <v>531</v>
      </c>
      <c r="K17" s="32">
        <f>'C1'!E15</f>
        <v>5.6803866333333337</v>
      </c>
      <c r="L17" s="31" t="s">
        <v>5</v>
      </c>
      <c r="Q17" s="33" t="s">
        <v>291</v>
      </c>
      <c r="R17" s="31">
        <f>_xlfn.LET(
    _xlpm._rho, K13,
    _xlpm._N_r, K21,
    _xlpm._D, K20,
    _xlpm._C_f_p, K33,
    _xlpm._C_f_min_sample, K16,
    _xlpm._local_maximum_exists, K32,
    IF(
        _xlpm._local_maximum_exists,
        _xlpm._C_f_p,
        _xlpm._C_f_min_sample
    )
)</f>
        <v>0.28465364146978933</v>
      </c>
      <c r="S17" s="31" t="s">
        <v>84</v>
      </c>
      <c r="Z17" s="33" t="s">
        <v>290</v>
      </c>
      <c r="AA17" s="31">
        <f>_xlfn.LET(
    _xlpm._alpha_5, K30,
    _xlpm._rho, K13,
    _xlpm._D, K20,
    _xlpm._rho * _xlpm._D ^ 2 * _xlpm._alpha_5 * 10 ^ -3
)</f>
        <v>0.48332932491123698</v>
      </c>
      <c r="AQ17" s="31">
        <f ca="1"/>
        <v>-33150.088082354923</v>
      </c>
      <c r="AR17" s="31">
        <v>-5.04</v>
      </c>
      <c r="AT17" s="31">
        <f ca="1"/>
        <v>-9230.727273451459</v>
      </c>
      <c r="AU17" s="31">
        <v>6.48</v>
      </c>
    </row>
    <row r="18" spans="9:47" ht="20.25" customHeight="1">
      <c r="Z18" s="33" t="s">
        <v>288</v>
      </c>
      <c r="AA18" s="31">
        <f ca="1">_xlfn.LET(
    _xlpm._alpha_4, K29,
    _xlpm._m_c, K10,
    _xlpm._D, K20,
    _xlpm._alpha_4 * _xlpm._m_c * _xlpm._D ^ -1 * 10 ^ -3
)</f>
        <v>1.1836229173165846</v>
      </c>
      <c r="AQ18" s="31">
        <f ca="1"/>
        <v>-30871.387789201584</v>
      </c>
      <c r="AR18" s="31">
        <v>-4.5600000000000005</v>
      </c>
      <c r="AT18" s="31">
        <f ca="1"/>
        <v>-9322.1657346749962</v>
      </c>
      <c r="AU18" s="31">
        <v>6.72</v>
      </c>
    </row>
    <row r="19" spans="9:47" ht="20.25" customHeight="1">
      <c r="I19" s="31" t="s">
        <v>112</v>
      </c>
      <c r="J19" s="33"/>
      <c r="Z19" s="33" t="s">
        <v>286</v>
      </c>
      <c r="AA19" s="31">
        <f ca="1">_xlfn.LET(
    _xlpm._alpha_3, K28,
    _xlpm._m_c, K10,
    _xlpm._rho, K13,
    _xlpm._D, K20,
    _xlpm._dP_c, K11,
    _xlpm._alpha_3 * _xlpm._m_c ^ 2 * 10 ^ -3 * _xlpm._rho ^ -1 * _xlpm._D ^ -4 - _xlpm._dP_c
)</f>
        <v>-261.90558084817519</v>
      </c>
      <c r="AQ19" s="31">
        <f ca="1"/>
        <v>-28692.996856196718</v>
      </c>
      <c r="AR19" s="31">
        <v>-4.08</v>
      </c>
      <c r="AT19" s="31">
        <f ca="1"/>
        <v>-9425.9372347765584</v>
      </c>
      <c r="AU19" s="31">
        <v>6.96</v>
      </c>
    </row>
    <row r="20" spans="9:47" ht="20.25" customHeight="1">
      <c r="J20" s="33" t="s">
        <v>111</v>
      </c>
      <c r="K20" s="32">
        <v>0.3</v>
      </c>
      <c r="L20" s="31" t="s">
        <v>110</v>
      </c>
      <c r="Z20" s="33" t="s">
        <v>285</v>
      </c>
      <c r="AA20" s="31">
        <f ca="1">_xlfn.LET(
    _xlpm._alpha_2, K27,
    _xlpm._m_c, K10,
    _xlpm._rho, K13,
    _xlpm._D, K20,
    _xlpm._alpha_2 * _xlpm._m_c ^ 3 * 10 ^ -3 * _xlpm._rho ^ -2 * _xlpm._D ^ -7
)</f>
        <v>2365.4624589046844</v>
      </c>
      <c r="AQ20" s="31">
        <f ca="1"/>
        <v>-26619.67182832901</v>
      </c>
      <c r="AR20" s="31">
        <v>-3.5999999999999996</v>
      </c>
      <c r="AT20" s="31">
        <f ca="1"/>
        <v>-9540.8467569774002</v>
      </c>
      <c r="AU20" s="31">
        <v>7.2</v>
      </c>
    </row>
    <row r="21" spans="9:47" ht="20.25" customHeight="1">
      <c r="J21" s="33" t="s">
        <v>105</v>
      </c>
      <c r="K21" s="32">
        <f>prm!D5</f>
        <v>30</v>
      </c>
      <c r="L21" s="31" t="s">
        <v>104</v>
      </c>
      <c r="Q21" s="33" t="s">
        <v>283</v>
      </c>
      <c r="R21" s="31">
        <f>K17</f>
        <v>5.6803866333333337</v>
      </c>
      <c r="S21" s="31" t="s">
        <v>84</v>
      </c>
      <c r="Z21" s="33" t="s">
        <v>282</v>
      </c>
      <c r="AA21" s="31">
        <f ca="1">_xlfn.LET(
    _xlpm._alpha_1, K26,
    _xlpm._m_c, K10,
    _xlpm._rho, K13,
    _xlpm._D, K20,
    _xlpm._alpha_1 * _xlpm._m_c ^ 4 * 10 ^ -3 * _xlpm._rho ^ -3 * _xlpm._D ^ -10
)</f>
        <v>-14735.668304388484</v>
      </c>
      <c r="AQ21" s="31">
        <f ca="1"/>
        <v>-24655.553479437956</v>
      </c>
      <c r="AR21" s="31">
        <v>-3.120000000000001</v>
      </c>
      <c r="AT21" s="31">
        <f ca="1"/>
        <v>-9665.6607988019387</v>
      </c>
      <c r="AU21" s="31">
        <v>7.4399999999999995</v>
      </c>
    </row>
    <row r="22" spans="9:47" ht="20.25" customHeight="1">
      <c r="J22" s="33" t="s">
        <v>289</v>
      </c>
      <c r="K22" s="32">
        <f>prm!E5</f>
        <v>0.2</v>
      </c>
      <c r="L22" s="31" t="s">
        <v>84</v>
      </c>
      <c r="Z22" s="33"/>
      <c r="AQ22" s="31">
        <f ca="1"/>
        <v>-22804.166812213858</v>
      </c>
      <c r="AR22" s="31">
        <v>-2.6400000000000006</v>
      </c>
      <c r="AT22" s="31">
        <f ca="1"/>
        <v>-9799.1073720777822</v>
      </c>
      <c r="AU22" s="31">
        <v>7.68</v>
      </c>
    </row>
    <row r="23" spans="9:47" ht="20.25" customHeight="1">
      <c r="J23" s="33" t="s">
        <v>287</v>
      </c>
      <c r="K23" s="32">
        <f>prm!F5</f>
        <v>1</v>
      </c>
      <c r="L23" s="31" t="s">
        <v>84</v>
      </c>
      <c r="P23" s="31" t="s">
        <v>281</v>
      </c>
      <c r="Y23" s="31" t="s">
        <v>280</v>
      </c>
      <c r="AQ23" s="31">
        <f ca="1"/>
        <v>-21068.421058197822</v>
      </c>
      <c r="AR23" s="31">
        <v>-2.16</v>
      </c>
      <c r="AT23" s="31">
        <f ca="1"/>
        <v>-9939.8760029357018</v>
      </c>
      <c r="AU23" s="31">
        <v>7.92</v>
      </c>
    </row>
    <row r="24" spans="9:47" ht="20.25" customHeight="1">
      <c r="Q24" s="33" t="s">
        <v>279</v>
      </c>
      <c r="R24" s="31" t="b">
        <f ca="1">_xlfn.LET(
    _xlpm._C_f_c, R9,
    _xlpm._C_f_min, R17,
    _xlpm._C_f_max, R21,
    AND(_xlpm._C_f_min &lt;= _xlpm._C_f_c, _xlpm._C_f_c &lt;= _xlpm._C_f_max)
)</f>
        <v>1</v>
      </c>
      <c r="Z24" s="33" t="s">
        <v>278</v>
      </c>
      <c r="AA24" s="31">
        <f>_xlfn.LET(
    _xlpm._N_r, K21,
    _xlpm._R_N_min, K22,
    _xlpm._N_r * _xlpm._R_N_min
)</f>
        <v>6</v>
      </c>
      <c r="AB24" s="31" t="s">
        <v>104</v>
      </c>
      <c r="AQ24" s="31">
        <f ca="1"/>
        <v>-19450.60967778178</v>
      </c>
      <c r="AR24" s="31">
        <v>-1.6799999999999997</v>
      </c>
      <c r="AT24" s="31">
        <f ca="1"/>
        <v>-10086.61773180966</v>
      </c>
      <c r="AU24" s="31">
        <v>8.16</v>
      </c>
    </row>
    <row r="25" spans="9:47" ht="20.25" customHeight="1">
      <c r="I25" s="31" t="s">
        <v>284</v>
      </c>
      <c r="Z25" s="33" t="s">
        <v>277</v>
      </c>
      <c r="AA25" s="31">
        <f>_xlfn.LET(
    _xlpm._N_r, K21,
    _xlpm._R_N_max, K23,
    _xlpm._N_r * _xlpm._R_N_max
)</f>
        <v>30</v>
      </c>
      <c r="AB25" s="31" t="s">
        <v>104</v>
      </c>
      <c r="AQ25" s="31">
        <f ca="1"/>
        <v>-17952.410360208461</v>
      </c>
      <c r="AR25" s="31">
        <v>-1.1999999999999993</v>
      </c>
      <c r="AT25" s="31">
        <f ca="1"/>
        <v>-10237.945113436772</v>
      </c>
      <c r="AU25" s="31">
        <v>8.4</v>
      </c>
    </row>
    <row r="26" spans="9:47" ht="20.25" customHeight="1">
      <c r="J26" s="33" t="s">
        <v>235</v>
      </c>
      <c r="K26" s="32">
        <f>'C1'!E7</f>
        <v>-6.5039412408014396E-3</v>
      </c>
      <c r="Z26" s="33"/>
      <c r="AQ26" s="31">
        <f ca="1"/>
        <v>-16574.885023571413</v>
      </c>
      <c r="AR26" s="31">
        <v>-0.72000000000000064</v>
      </c>
      <c r="AT26" s="31">
        <f ca="1"/>
        <v>-10392.432216857349</v>
      </c>
      <c r="AU26" s="31">
        <v>8.64</v>
      </c>
    </row>
    <row r="27" spans="9:47" ht="20.25" customHeight="1">
      <c r="J27" s="33" t="s">
        <v>227</v>
      </c>
      <c r="K27" s="32">
        <f>'C1'!E8</f>
        <v>7.3953802908153773E-2</v>
      </c>
      <c r="Y27" s="31" t="s">
        <v>276</v>
      </c>
      <c r="AQ27" s="31">
        <f ca="1"/>
        <v>-15318.479814814971</v>
      </c>
      <c r="AR27" s="31">
        <v>-0.24000000000000021</v>
      </c>
      <c r="AT27" s="31">
        <f ca="1"/>
        <v>-10548.614625414873</v>
      </c>
      <c r="AU27" s="31">
        <v>8.879999999999999</v>
      </c>
    </row>
    <row r="28" spans="9:47" ht="20.25" customHeight="1">
      <c r="J28" s="33" t="s">
        <v>216</v>
      </c>
      <c r="K28" s="32">
        <f>'C1'!E9</f>
        <v>-0.35664959080564745</v>
      </c>
      <c r="Z28" s="33" t="s">
        <v>337</v>
      </c>
      <c r="AA28" s="31" cm="1">
        <f t="array" aca="1" ref="AA28" ca="1">_xlfn.LET(
    _xlpm._coefficient, TRANSPOSE(AA17:AA21),
    _xlpm._N, AA24,
    SUM(_xlpm._coefficient * _xlfn.HSTACK(_xlpm._N ^ {4,3,2,1}, 1))
)</f>
        <v>-9089.4371062693408</v>
      </c>
      <c r="AQ28" s="31">
        <f ca="1"/>
        <v>-14183.025109734304</v>
      </c>
      <c r="AR28" s="31">
        <v>0.24000000000000021</v>
      </c>
      <c r="AT28" s="31">
        <f ca="1"/>
        <v>-10704.989436755994</v>
      </c>
      <c r="AU28" s="31">
        <v>9.120000000000001</v>
      </c>
    </row>
    <row r="29" spans="9:47" ht="20.25" customHeight="1">
      <c r="J29" s="33" t="s">
        <v>207</v>
      </c>
      <c r="K29" s="32">
        <f>'C1'!E10</f>
        <v>0.18566633997122894</v>
      </c>
      <c r="Z29" s="33" t="s">
        <v>338</v>
      </c>
      <c r="AA29" s="31" cm="1">
        <f t="array" aca="1" ref="AA29" ca="1">_xlfn.LET(
    _xlpm._coefficient, TRANSPOSE(AA17:AA21),
    _xlpm._N, AA25,
    SUM(_xlpm._coefficient * _xlfn.HSTACK(_xlpm._N ^ {4,3,2,1}, 1))
)</f>
        <v>243967.7546450441</v>
      </c>
      <c r="AQ29" s="31">
        <f ca="1"/>
        <v>-13167.735512975383</v>
      </c>
      <c r="AR29" s="31">
        <v>0.71999999999999886</v>
      </c>
      <c r="AT29" s="31">
        <f ca="1"/>
        <v>-10860.015262830533</v>
      </c>
      <c r="AU29" s="31">
        <v>9.36</v>
      </c>
    </row>
    <row r="30" spans="9:47" ht="20.25" customHeight="1">
      <c r="J30" s="33" t="s">
        <v>203</v>
      </c>
      <c r="K30" s="32">
        <f>'C1'!E11</f>
        <v>5.3703258323470777</v>
      </c>
      <c r="Z30" s="33" t="s">
        <v>275</v>
      </c>
      <c r="AA30" s="31" t="b">
        <f ca="1">_xlfn.LET(
    _xlpm._f_N_min, AA28,
    _xlpm._f_N_max, AA29,
    _xlpm._f_N_min * _xlpm._f_N_max &gt;= 0
)</f>
        <v>0</v>
      </c>
      <c r="AQ30" s="31">
        <f ca="1"/>
        <v>-12271.209858034978</v>
      </c>
      <c r="AR30" s="31">
        <v>1.1999999999999993</v>
      </c>
      <c r="AT30" s="31">
        <f ca="1"/>
        <v>-11012.112229891522</v>
      </c>
      <c r="AU30" s="31">
        <v>9.6</v>
      </c>
    </row>
    <row r="31" spans="9:47" ht="20.25" customHeight="1">
      <c r="Z31" s="33" t="s">
        <v>273</v>
      </c>
      <c r="AA31" s="31" t="b">
        <f ca="1">_xlfn.LET(
    _xlpm._f_N_min, AA28,
    _xlpm._f_N_max, AA29,
    _xlpm._epsilon, K37,
    _xlpm._f_N_min_is_one_of_the_roots, ABS(_xlpm._f_N_min) &lt;= _xlpm._epsilon,
    _xlpm._f_N_max_is_one_of_the_roots, ABS(_xlpm._f_N_max) &lt;= _xlpm._epsilon,
    _xlfn.XOR(
        _xlpm._f_N_min_is_one_of_the_roots,
        _xlpm._f_N_max_is_one_of_the_roots
    )
)</f>
        <v>0</v>
      </c>
      <c r="AQ31" s="31">
        <f ca="1"/>
        <v>-11491.431207260681</v>
      </c>
      <c r="AR31" s="31">
        <v>1.6799999999999997</v>
      </c>
      <c r="AT31" s="31">
        <f ca="1"/>
        <v>-11159.661978495118</v>
      </c>
      <c r="AU31" s="31">
        <v>9.84</v>
      </c>
    </row>
    <row r="32" spans="9:47" ht="20.25" customHeight="1">
      <c r="J32" s="33" t="s">
        <v>176</v>
      </c>
      <c r="K32" s="32" t="b">
        <f>'C1'!E18</f>
        <v>1</v>
      </c>
      <c r="Z32" s="33" t="s">
        <v>270</v>
      </c>
      <c r="AA32" s="31" t="e">
        <f ca="1">_xlfn.LET(
    _xlpm._f_N_min, AA28,
    _xlpm._f_N_max, AA29,
    _xlpm._epsilon, K37,
    _xlpm._f_N_min_is_one_of_the_roots, ABS(_xlpm._f_N_min) &lt;= _xlpm._epsilon,
    _xlpm._f_N_max_is_one_of_the_roots, ABS(_xlpm._f_N_max) &lt;= _xlpm._epsilon,
    IF(
        _xlfn.XOR(
            _xlpm._f_N_min_is_one_of_the_roots,
            _xlpm._f_N_max_is_one_of_the_roots
        ),
        IF(
            _xlpm._f_N_min_is_one_of_the_roots,
            _xlpm._f_N_min,
            IF(_xlpm._f_N_max_is_one_of_the_roots, _xlpm._f_N_max, NA())
        ),
        NA()
    )
)</f>
        <v>#N/A</v>
      </c>
      <c r="AQ32" s="31">
        <f ca="1"/>
        <v>-10825.766851850887</v>
      </c>
      <c r="AR32" s="31">
        <v>2.16</v>
      </c>
      <c r="AT32" s="31">
        <f ca="1"/>
        <v>-11301.007663500684</v>
      </c>
      <c r="AU32" s="31">
        <v>10.08</v>
      </c>
    </row>
    <row r="33" spans="9:47" ht="20.25" customHeight="1">
      <c r="J33" s="33" t="s">
        <v>172</v>
      </c>
      <c r="K33" s="32">
        <f>'C1'!E19</f>
        <v>0.28465364146978933</v>
      </c>
      <c r="L33" s="31" t="s">
        <v>50</v>
      </c>
      <c r="AQ33" s="31">
        <f ca="1"/>
        <v>-10270.968311854804</v>
      </c>
      <c r="AR33" s="31">
        <v>2.6400000000000006</v>
      </c>
      <c r="AT33" s="31">
        <f ca="1"/>
        <v>-11434.453954070759</v>
      </c>
      <c r="AU33" s="31">
        <v>10.32</v>
      </c>
    </row>
    <row r="34" spans="9:47" ht="20.25" customHeight="1">
      <c r="Y34" s="31" t="s">
        <v>268</v>
      </c>
      <c r="AQ34" s="31">
        <f ca="1"/>
        <v>-9823.1713361724469</v>
      </c>
      <c r="AR34" s="31">
        <v>3.1199999999999992</v>
      </c>
      <c r="AT34" s="31">
        <f ca="1"/>
        <v>-11558.267033671047</v>
      </c>
      <c r="AU34" s="31">
        <v>10.559999999999999</v>
      </c>
    </row>
    <row r="35" spans="9:47" ht="20.25" customHeight="1">
      <c r="I35" s="31" t="s">
        <v>274</v>
      </c>
      <c r="Z35" s="33" t="s">
        <v>267</v>
      </c>
      <c r="AA35" s="31" t="b">
        <f ca="1">ISNUMBER(AA36)</f>
        <v>1</v>
      </c>
      <c r="AQ35" s="31">
        <f ca="1"/>
        <v>-9477.8959025546374</v>
      </c>
      <c r="AR35" s="31">
        <v>3.5999999999999996</v>
      </c>
      <c r="AT35" s="31">
        <f ca="1"/>
        <v>-11670.67460007043</v>
      </c>
      <c r="AU35" s="31">
        <v>10.8</v>
      </c>
    </row>
    <row r="36" spans="9:47" ht="20.25" customHeight="1">
      <c r="J36" s="33" t="s">
        <v>272</v>
      </c>
      <c r="K36" s="32">
        <f>10^3</f>
        <v>1000</v>
      </c>
      <c r="L36" s="31" t="s">
        <v>271</v>
      </c>
      <c r="Z36" s="33" t="s">
        <v>266</v>
      </c>
      <c r="AA36" s="31" cm="1">
        <f t="array" aca="1" ref="AA36" ca="1">_xlfn.LET(
    _xlpm._a4, AA17,
    _xlpm._a3, AA18,
    _xlpm._a2, AA19,
    _xlpm._a1, AA20,
    _xlpm._a0, AA21,
    _xlpm._N_min, AA24,
    _xlpm._N_max, AA25,
    _xlpm._n_iteration_max, K36,
    _xlpm._epsilon, K37,
    _bisection.quartic_equation(
        _xlpm._a4,
        _xlpm._a3,
        _xlpm._a2,
        _xlpm._a1,
        _xlpm._a0,
        _xlpm._N_min,
        _xlpm._N_max,
        _xlpm._n_iteration_max,
        _xlpm._epsilon
    )
)</f>
        <v>17.881303310394287</v>
      </c>
      <c r="AB36" s="31" t="s">
        <v>104</v>
      </c>
      <c r="AQ36" s="31">
        <f ca="1"/>
        <v>-9230.0462176030123</v>
      </c>
      <c r="AR36" s="31">
        <v>4.0799999999999983</v>
      </c>
      <c r="AT36" s="31">
        <f ca="1"/>
        <v>-11769.865865340966</v>
      </c>
      <c r="AU36" s="31">
        <v>11.04</v>
      </c>
    </row>
    <row r="37" spans="9:47" ht="20.25" customHeight="1">
      <c r="J37" s="33" t="s">
        <v>269</v>
      </c>
      <c r="K37" s="32">
        <f>10^-3</f>
        <v>1E-3</v>
      </c>
      <c r="AQ37" s="31">
        <f ca="1"/>
        <v>-9073.9107167700131</v>
      </c>
      <c r="AR37" s="31">
        <v>4.5599999999999987</v>
      </c>
      <c r="AT37" s="31">
        <f ca="1"/>
        <v>-11853.991555857898</v>
      </c>
      <c r="AU37" s="31">
        <v>11.28</v>
      </c>
    </row>
    <row r="38" spans="9:47" ht="20.25" customHeight="1">
      <c r="AQ38" s="31">
        <f ca="1"/>
        <v>-9003.1620643588903</v>
      </c>
      <c r="AR38" s="31">
        <v>5.0399999999999991</v>
      </c>
      <c r="AT38" s="31">
        <f ca="1"/>
        <v>-11921.163912299635</v>
      </c>
      <c r="AU38" s="31">
        <v>11.52</v>
      </c>
    </row>
    <row r="39" spans="9:47" ht="20.25" customHeight="1">
      <c r="AQ39" s="31">
        <f ca="1"/>
        <v>-9010.8571535237097</v>
      </c>
      <c r="AR39" s="31">
        <v>5.52</v>
      </c>
      <c r="AT39" s="31">
        <f ca="1"/>
        <v>-11969.456689647763</v>
      </c>
      <c r="AU39" s="31">
        <v>11.76</v>
      </c>
    </row>
    <row r="40" spans="9:47" ht="20.25" customHeight="1">
      <c r="AQ40" s="31">
        <f ca="1"/>
        <v>-9089.4371062693408</v>
      </c>
      <c r="AR40" s="31">
        <v>6</v>
      </c>
      <c r="AT40" s="31">
        <f ca="1"/>
        <v>-11996.905157187033</v>
      </c>
      <c r="AU40" s="31">
        <v>12</v>
      </c>
    </row>
    <row r="41" spans="9:47" ht="20.25" customHeight="1">
      <c r="AQ41" s="31">
        <f ca="1"/>
        <v>-9230.727273451459</v>
      </c>
      <c r="AR41" s="31">
        <v>6.48</v>
      </c>
      <c r="AT41" s="31">
        <f ca="1"/>
        <v>-12001.506098505386</v>
      </c>
      <c r="AU41" s="31">
        <v>12.24</v>
      </c>
    </row>
    <row r="42" spans="9:47" ht="20.25" customHeight="1">
      <c r="AQ42" s="31">
        <f ca="1"/>
        <v>-9425.937234776562</v>
      </c>
      <c r="AR42" s="31">
        <v>6.9600000000000009</v>
      </c>
      <c r="AT42" s="31">
        <f ca="1"/>
        <v>-11981.217811493952</v>
      </c>
      <c r="AU42" s="31">
        <v>12.48</v>
      </c>
    </row>
    <row r="43" spans="9:47" ht="20.25" customHeight="1">
      <c r="AQ43" s="31">
        <f ca="1"/>
        <v>-9665.6607988019387</v>
      </c>
      <c r="AR43" s="31">
        <v>7.4399999999999977</v>
      </c>
      <c r="AT43" s="31">
        <f ca="1"/>
        <v>-11933.960108347001</v>
      </c>
      <c r="AU43" s="31">
        <v>12.719999999999999</v>
      </c>
    </row>
    <row r="44" spans="9:47" ht="20.25" customHeight="1">
      <c r="AQ44" s="31">
        <f ca="1"/>
        <v>-9939.8760029357036</v>
      </c>
      <c r="AR44" s="31">
        <v>7.9200000000000017</v>
      </c>
      <c r="AT44" s="31">
        <f ca="1"/>
        <v>-11857.614315562001</v>
      </c>
      <c r="AU44" s="31">
        <v>12.96</v>
      </c>
    </row>
    <row r="45" spans="9:47" ht="20.25" customHeight="1">
      <c r="AQ45" s="31">
        <f ca="1"/>
        <v>-10237.94511343677</v>
      </c>
      <c r="AR45" s="31">
        <v>8.3999999999999986</v>
      </c>
      <c r="AT45" s="31">
        <f ca="1"/>
        <v>-11750.023273939591</v>
      </c>
      <c r="AU45" s="31">
        <v>13.2</v>
      </c>
    </row>
    <row r="46" spans="9:47" ht="20.25" customHeight="1">
      <c r="AQ46" s="31">
        <f ca="1"/>
        <v>-10548.614625414873</v>
      </c>
      <c r="AR46" s="31">
        <v>8.879999999999999</v>
      </c>
      <c r="AT46" s="31">
        <f ca="1"/>
        <v>-11608.99133858359</v>
      </c>
      <c r="AU46" s="31">
        <v>13.44</v>
      </c>
    </row>
    <row r="47" spans="9:47" ht="20.25" customHeight="1">
      <c r="AQ47" s="31">
        <f ca="1"/>
        <v>-10860.015262830533</v>
      </c>
      <c r="AR47" s="31">
        <v>9.36</v>
      </c>
      <c r="AT47" s="31">
        <f ca="1"/>
        <v>-11432.284378900986</v>
      </c>
      <c r="AU47" s="31">
        <v>13.68</v>
      </c>
    </row>
    <row r="48" spans="9:47" ht="20.25" customHeight="1">
      <c r="AQ48" s="31">
        <f ca="1"/>
        <v>-11159.661978495118</v>
      </c>
      <c r="AR48" s="31">
        <v>9.84</v>
      </c>
      <c r="AT48" s="31">
        <f ca="1"/>
        <v>-11217.629778601957</v>
      </c>
      <c r="AU48" s="31">
        <v>13.92</v>
      </c>
    </row>
    <row r="49" spans="43:47" ht="20.25" customHeight="1">
      <c r="AQ49" s="31">
        <f ca="1"/>
        <v>-11434.453954070759</v>
      </c>
      <c r="AR49" s="31">
        <v>10.32</v>
      </c>
      <c r="AT49" s="31">
        <f ca="1"/>
        <v>-10962.716435699829</v>
      </c>
      <c r="AU49" s="31">
        <v>14.16</v>
      </c>
    </row>
    <row r="50" spans="43:47" ht="20.25" customHeight="1">
      <c r="AQ50" s="31">
        <f ca="1"/>
        <v>-11670.67460007043</v>
      </c>
      <c r="AR50" s="31">
        <v>10.8</v>
      </c>
      <c r="AT50" s="31">
        <f ca="1"/>
        <v>-10665.194762511124</v>
      </c>
      <c r="AU50" s="31">
        <v>14.4</v>
      </c>
    </row>
    <row r="51" spans="43:47" ht="20.25" customHeight="1">
      <c r="AQ51" s="31">
        <f ca="1"/>
        <v>-11853.991555857901</v>
      </c>
      <c r="AR51" s="31">
        <v>11.280000000000001</v>
      </c>
      <c r="AT51" s="31">
        <f ca="1"/>
        <v>-10322.67668565553</v>
      </c>
      <c r="AU51" s="31">
        <v>14.64</v>
      </c>
    </row>
    <row r="52" spans="43:47" ht="20.25" customHeight="1">
      <c r="AQ52" s="31">
        <f ca="1"/>
        <v>-11969.456689647763</v>
      </c>
      <c r="AR52" s="31">
        <v>11.759999999999998</v>
      </c>
      <c r="AT52" s="31">
        <f ca="1"/>
        <v>-9932.7356460559276</v>
      </c>
      <c r="AU52" s="31">
        <v>14.879999999999999</v>
      </c>
    </row>
    <row r="53" spans="43:47" ht="20.25" customHeight="1">
      <c r="AQ53" s="31">
        <f ca="1"/>
        <v>-12001.50609850539</v>
      </c>
      <c r="AR53" s="31">
        <v>12.239999999999998</v>
      </c>
      <c r="AT53" s="31">
        <f ca="1"/>
        <v>-9492.9065989383525</v>
      </c>
      <c r="AU53" s="31">
        <v>15.12</v>
      </c>
    </row>
    <row r="54" spans="43:47" ht="20.25" customHeight="1">
      <c r="AQ54" s="31">
        <f ca="1"/>
        <v>-11933.960108347001</v>
      </c>
      <c r="AR54" s="31">
        <v>12.719999999999999</v>
      </c>
      <c r="AT54" s="31">
        <f ca="1"/>
        <v>-9000.6860138320371</v>
      </c>
      <c r="AU54" s="31">
        <v>15.36</v>
      </c>
    </row>
    <row r="55" spans="43:47" ht="20.25" customHeight="1">
      <c r="AQ55" s="31">
        <f ca="1"/>
        <v>-11750.023273939591</v>
      </c>
      <c r="AR55" s="31">
        <v>13.2</v>
      </c>
      <c r="AT55" s="31">
        <f ca="1"/>
        <v>-8453.5318745693585</v>
      </c>
      <c r="AU55" s="31">
        <v>15.6</v>
      </c>
    </row>
    <row r="56" spans="43:47" ht="20.25" customHeight="1">
      <c r="AQ56" s="31">
        <f ca="1"/>
        <v>-11432.284378900986</v>
      </c>
      <c r="AR56" s="31">
        <v>13.68</v>
      </c>
      <c r="AT56" s="31">
        <f ca="1"/>
        <v>-7848.8636792858888</v>
      </c>
      <c r="AU56" s="31">
        <v>15.84</v>
      </c>
    </row>
    <row r="57" spans="43:47" ht="20.25" customHeight="1">
      <c r="AQ57" s="31">
        <f ca="1"/>
        <v>-10962.716435699829</v>
      </c>
      <c r="AR57" s="31">
        <v>14.16</v>
      </c>
      <c r="AT57" s="31">
        <f ca="1"/>
        <v>-7184.0624404203991</v>
      </c>
      <c r="AU57" s="31">
        <v>16.079999999999998</v>
      </c>
    </row>
    <row r="58" spans="43:47" ht="20.25" customHeight="1">
      <c r="AQ58" s="31">
        <f ca="1"/>
        <v>-10322.67668565553</v>
      </c>
      <c r="AR58" s="31">
        <v>14.64</v>
      </c>
      <c r="AT58" s="31">
        <f ca="1"/>
        <v>-6456.4706847147827</v>
      </c>
      <c r="AU58" s="31">
        <v>16.32</v>
      </c>
    </row>
    <row r="59" spans="43:47" ht="20.25" customHeight="1">
      <c r="AQ59" s="31">
        <f ca="1"/>
        <v>-9492.9065989383598</v>
      </c>
      <c r="AR59" s="31">
        <v>15.119999999999997</v>
      </c>
      <c r="AT59" s="31">
        <f ca="1"/>
        <v>-5663.3924532141536</v>
      </c>
      <c r="AU59" s="31">
        <v>16.559999999999999</v>
      </c>
    </row>
    <row r="60" spans="43:47" ht="20.25" customHeight="1">
      <c r="AQ60" s="31">
        <f ca="1"/>
        <v>-8453.5318745693585</v>
      </c>
      <c r="AR60" s="31">
        <v>15.599999999999998</v>
      </c>
      <c r="AT60" s="31">
        <f ca="1"/>
        <v>-4802.0933012667811</v>
      </c>
      <c r="AU60" s="31">
        <v>16.799999999999997</v>
      </c>
    </row>
    <row r="61" spans="43:47" ht="20.25" customHeight="1">
      <c r="AQ61" s="31">
        <f ca="1"/>
        <v>-7184.0624404203991</v>
      </c>
      <c r="AR61" s="31">
        <v>16.079999999999998</v>
      </c>
      <c r="AT61" s="31">
        <f ca="1"/>
        <v>-3869.8002985240964</v>
      </c>
      <c r="AU61" s="31">
        <v>17.04</v>
      </c>
    </row>
    <row r="62" spans="43:47" ht="20.25" customHeight="1">
      <c r="AQ62" s="31">
        <f ca="1"/>
        <v>-5663.3924532141536</v>
      </c>
      <c r="AR62" s="31">
        <v>16.559999999999999</v>
      </c>
      <c r="AT62" s="31">
        <f ca="1"/>
        <v>-2863.7020289407519</v>
      </c>
      <c r="AU62" s="31">
        <v>17.28</v>
      </c>
    </row>
    <row r="63" spans="43:47" ht="20.25" customHeight="1">
      <c r="AQ63" s="31">
        <f ca="1"/>
        <v>-3869.8002985240964</v>
      </c>
      <c r="AR63" s="31">
        <v>17.04</v>
      </c>
      <c r="AT63" s="31">
        <f ca="1"/>
        <v>-1780.9485907745475</v>
      </c>
      <c r="AU63" s="31">
        <v>17.52</v>
      </c>
    </row>
    <row r="64" spans="43:47" ht="20.25" customHeight="1">
      <c r="AQ64" s="31">
        <f ca="1"/>
        <v>-1780.9485907745475</v>
      </c>
      <c r="AR64" s="31">
        <v>17.52</v>
      </c>
      <c r="AT64" s="31">
        <f ca="1"/>
        <v>-618.65159658646007</v>
      </c>
      <c r="AU64" s="31">
        <v>17.759999999999998</v>
      </c>
    </row>
    <row r="65" spans="43:47" ht="20.25" customHeight="1">
      <c r="AQ65" s="31">
        <f ca="1"/>
        <v>626.11582675940735</v>
      </c>
      <c r="AR65" s="31">
        <v>18</v>
      </c>
      <c r="AT65" s="31">
        <f ca="1"/>
        <v>626.11582675940735</v>
      </c>
      <c r="AU65" s="31">
        <v>18</v>
      </c>
    </row>
    <row r="66" spans="43:47" ht="20.25" customHeight="1">
      <c r="AQ66" s="31">
        <f ca="1"/>
        <v>3374.9618819518582</v>
      </c>
      <c r="AR66" s="31">
        <v>18.48</v>
      </c>
      <c r="AT66" s="31">
        <f ca="1"/>
        <v>1956.3190380956803</v>
      </c>
      <c r="AU66" s="31">
        <v>18.240000000000002</v>
      </c>
    </row>
    <row r="67" spans="43:47" ht="20.25" customHeight="1">
      <c r="AQ67" s="31">
        <f ca="1"/>
        <v>6489.7742738260786</v>
      </c>
      <c r="AR67" s="31">
        <v>18.96</v>
      </c>
      <c r="AT67" s="31">
        <f ca="1"/>
        <v>3374.9618819518582</v>
      </c>
      <c r="AU67" s="31">
        <v>18.48</v>
      </c>
    </row>
    <row r="68" spans="43:47" ht="20.25" customHeight="1">
      <c r="AQ68" s="31">
        <f ca="1"/>
        <v>9995.3534725545178</v>
      </c>
      <c r="AR68" s="31">
        <v>19.439999999999998</v>
      </c>
      <c r="AT68" s="31">
        <f ca="1"/>
        <v>4885.0866885542709</v>
      </c>
      <c r="AU68" s="31">
        <v>18.72</v>
      </c>
    </row>
    <row r="69" spans="43:47" ht="20.25" customHeight="1">
      <c r="AQ69" s="31">
        <f ca="1"/>
        <v>13917.115719458881</v>
      </c>
      <c r="AR69" s="31">
        <v>19.919999999999998</v>
      </c>
      <c r="AT69" s="31">
        <f ca="1"/>
        <v>6489.7742738260786</v>
      </c>
      <c r="AU69" s="31">
        <v>18.96</v>
      </c>
    </row>
    <row r="70" spans="43:47" ht="20.25" customHeight="1">
      <c r="AQ70" s="31">
        <f ca="1"/>
        <v>18281.093027009985</v>
      </c>
      <c r="AR70" s="31">
        <v>20.399999999999999</v>
      </c>
      <c r="AT70" s="31">
        <f ca="1"/>
        <v>8192.1439393872206</v>
      </c>
      <c r="AU70" s="31">
        <v>19.2</v>
      </c>
    </row>
    <row r="71" spans="43:47" ht="20.25" customHeight="1">
      <c r="AQ71" s="31">
        <f ca="1"/>
        <v>23113.933178827872</v>
      </c>
      <c r="AR71" s="31">
        <v>20.879999999999995</v>
      </c>
      <c r="AT71" s="31">
        <f ca="1"/>
        <v>9995.3534725545178</v>
      </c>
      <c r="AU71" s="31">
        <v>19.439999999999998</v>
      </c>
    </row>
    <row r="72" spans="43:47" ht="20.25" customHeight="1">
      <c r="AQ72" s="31">
        <f ca="1"/>
        <v>28442.899729681834</v>
      </c>
      <c r="AR72" s="31">
        <v>21.36</v>
      </c>
      <c r="AT72" s="31">
        <f ca="1"/>
        <v>11902.599146341599</v>
      </c>
      <c r="AU72" s="31">
        <v>19.68</v>
      </c>
    </row>
    <row r="73" spans="43:47" ht="20.25" customHeight="1">
      <c r="AQ73" s="31">
        <f ca="1"/>
        <v>34295.872005490244</v>
      </c>
      <c r="AR73" s="31">
        <v>21.840000000000003</v>
      </c>
      <c r="AT73" s="31">
        <f ca="1"/>
        <v>13917.115719458903</v>
      </c>
      <c r="AU73" s="31">
        <v>19.920000000000002</v>
      </c>
    </row>
    <row r="74" spans="43:47" ht="20.25" customHeight="1">
      <c r="AQ74" s="31">
        <f ca="1"/>
        <v>40701.345103320637</v>
      </c>
      <c r="AR74" s="31">
        <v>22.32</v>
      </c>
      <c r="AT74" s="31">
        <f ca="1"/>
        <v>16042.176436313654</v>
      </c>
      <c r="AU74" s="31">
        <v>20.16</v>
      </c>
    </row>
    <row r="75" spans="43:47" ht="20.25" customHeight="1">
      <c r="AQ75" s="31">
        <f ca="1"/>
        <v>47688.429891389911</v>
      </c>
      <c r="AR75" s="31">
        <v>22.799999999999997</v>
      </c>
      <c r="AT75" s="31">
        <f ca="1"/>
        <v>18281.093027009985</v>
      </c>
      <c r="AU75" s="31">
        <v>20.399999999999999</v>
      </c>
    </row>
    <row r="76" spans="43:47" ht="20.25" customHeight="1">
      <c r="AQ76" s="31">
        <f ca="1"/>
        <v>55286.853009064158</v>
      </c>
      <c r="AR76" s="31">
        <v>23.28</v>
      </c>
      <c r="AT76" s="31">
        <f ca="1"/>
        <v>20637.215707348842</v>
      </c>
      <c r="AU76" s="31">
        <v>20.64</v>
      </c>
    </row>
    <row r="77" spans="43:47" ht="20.25" customHeight="1">
      <c r="AQ77" s="31">
        <f ca="1"/>
        <v>63526.95686685828</v>
      </c>
      <c r="AR77" s="31">
        <v>23.759999999999998</v>
      </c>
      <c r="AT77" s="31">
        <f ca="1"/>
        <v>23113.933178827894</v>
      </c>
      <c r="AU77" s="31">
        <v>20.88</v>
      </c>
    </row>
    <row r="78" spans="43:47" ht="20.25" customHeight="1">
      <c r="AQ78" s="31">
        <f ca="1"/>
        <v>72439.699646436886</v>
      </c>
      <c r="AR78" s="31">
        <v>24.239999999999995</v>
      </c>
      <c r="AT78" s="31">
        <f ca="1"/>
        <v>25714.672628641732</v>
      </c>
      <c r="AU78" s="31">
        <v>21.119999999999997</v>
      </c>
    </row>
    <row r="79" spans="43:47" ht="20.25" customHeight="1">
      <c r="AQ79" s="31">
        <f ca="1"/>
        <v>82056.655300613565</v>
      </c>
      <c r="AR79" s="31">
        <v>24.72</v>
      </c>
      <c r="AT79" s="31">
        <f ca="1"/>
        <v>28442.899729681834</v>
      </c>
      <c r="AU79" s="31">
        <v>21.36</v>
      </c>
    </row>
    <row r="80" spans="43:47" ht="20.25" customHeight="1">
      <c r="AQ80" s="31">
        <f ca="1"/>
        <v>92410.013553351033</v>
      </c>
      <c r="AR80" s="31">
        <v>25.200000000000003</v>
      </c>
      <c r="AT80" s="31">
        <f ca="1"/>
        <v>31302.118640536319</v>
      </c>
      <c r="AU80" s="31">
        <v>21.6</v>
      </c>
    </row>
    <row r="81" spans="43:47" ht="20.25" customHeight="1">
      <c r="AQ81" s="31">
        <f ca="1"/>
        <v>103532.57989976107</v>
      </c>
      <c r="AR81" s="31">
        <v>25.68</v>
      </c>
      <c r="AT81" s="31">
        <f ca="1"/>
        <v>34295.872005490193</v>
      </c>
      <c r="AU81" s="31">
        <v>21.84</v>
      </c>
    </row>
    <row r="82" spans="43:47" ht="20.25" customHeight="1">
      <c r="AQ82" s="31">
        <f ca="1"/>
        <v>115457.77560610491</v>
      </c>
      <c r="AR82" s="31">
        <v>26.159999999999997</v>
      </c>
      <c r="AT82" s="31">
        <f ca="1"/>
        <v>37427.74095452542</v>
      </c>
      <c r="AU82" s="31">
        <v>22.08</v>
      </c>
    </row>
    <row r="83" spans="43:47" ht="20.25" customHeight="1">
      <c r="AQ83" s="31">
        <f ca="1"/>
        <v>128219.6377097931</v>
      </c>
      <c r="AR83" s="31">
        <v>26.64</v>
      </c>
      <c r="AT83" s="31">
        <f ca="1"/>
        <v>40701.345103320637</v>
      </c>
      <c r="AU83" s="31">
        <v>22.32</v>
      </c>
    </row>
    <row r="84" spans="43:47" ht="20.25" customHeight="1">
      <c r="AQ84" s="31">
        <f ca="1"/>
        <v>141852.81901938468</v>
      </c>
      <c r="AR84" s="31">
        <v>27.119999999999997</v>
      </c>
      <c r="AT84" s="31">
        <f ca="1"/>
        <v>44120.342553251372</v>
      </c>
      <c r="AU84" s="31">
        <v>22.56</v>
      </c>
    </row>
    <row r="85" spans="43:47" ht="20.25" customHeight="1">
      <c r="AQ85" s="31">
        <f ca="1"/>
        <v>156392.58811458905</v>
      </c>
      <c r="AR85" s="31">
        <v>27.6</v>
      </c>
      <c r="AT85" s="31">
        <f ca="1"/>
        <v>47688.429891389977</v>
      </c>
      <c r="AU85" s="31">
        <v>22.8</v>
      </c>
    </row>
    <row r="86" spans="43:47" ht="20.25" customHeight="1">
      <c r="AQ86" s="31">
        <f ca="1"/>
        <v>171874.82934626337</v>
      </c>
      <c r="AR86" s="31">
        <v>28.08</v>
      </c>
      <c r="AT86" s="31">
        <f ca="1"/>
        <v>51409.342190505529</v>
      </c>
      <c r="AU86" s="31">
        <v>23.04</v>
      </c>
    </row>
    <row r="87" spans="43:47" ht="20.25" customHeight="1">
      <c r="AQ87" s="31">
        <f ca="1"/>
        <v>188336.04283641541</v>
      </c>
      <c r="AR87" s="31">
        <v>28.560000000000002</v>
      </c>
      <c r="AT87" s="31">
        <f ca="1"/>
        <v>55286.853009064158</v>
      </c>
      <c r="AU87" s="31">
        <v>23.28</v>
      </c>
    </row>
    <row r="88" spans="43:47" ht="20.25" customHeight="1">
      <c r="AQ88" s="31">
        <f ca="1"/>
        <v>205813.34447820089</v>
      </c>
      <c r="AR88" s="31">
        <v>29.04</v>
      </c>
      <c r="AT88" s="31">
        <f ca="1"/>
        <v>59324.774391228464</v>
      </c>
      <c r="AU88" s="31">
        <v>23.52</v>
      </c>
    </row>
    <row r="89" spans="43:47" ht="20.25" customHeight="1">
      <c r="AQ89" s="31">
        <f ca="1"/>
        <v>224344.46593592537</v>
      </c>
      <c r="AR89" s="31">
        <v>29.519999999999996</v>
      </c>
      <c r="AT89" s="31">
        <f ca="1"/>
        <v>63526.95686685828</v>
      </c>
      <c r="AU89" s="31">
        <v>23.759999999999998</v>
      </c>
    </row>
    <row r="90" spans="43:47" ht="20.25" customHeight="1">
      <c r="AQ90" s="31">
        <f ca="1"/>
        <v>243967.7546450441</v>
      </c>
      <c r="AR90" s="31">
        <v>30</v>
      </c>
      <c r="AT90" s="31">
        <f ca="1"/>
        <v>67897.289451510049</v>
      </c>
      <c r="AU90" s="31">
        <v>24</v>
      </c>
    </row>
    <row r="91" spans="43:47" ht="20.25" customHeight="1">
      <c r="AQ91" s="31">
        <f ca="1"/>
        <v>264722.17381216015</v>
      </c>
      <c r="AR91" s="31">
        <v>30.479999999999997</v>
      </c>
      <c r="AT91" s="31">
        <f ca="1"/>
        <v>72439.699646436929</v>
      </c>
      <c r="AU91" s="31">
        <v>24.24</v>
      </c>
    </row>
    <row r="92" spans="43:47" ht="20.25" customHeight="1">
      <c r="AQ92" s="31">
        <f ca="1"/>
        <v>286647.30241502722</v>
      </c>
      <c r="AR92" s="31">
        <v>30.96</v>
      </c>
      <c r="AT92" s="31">
        <f ca="1"/>
        <v>77158.153438589186</v>
      </c>
      <c r="AU92" s="31">
        <v>24.48</v>
      </c>
    </row>
    <row r="93" spans="43:47" ht="20.25" customHeight="1">
      <c r="AQ93" s="31">
        <f ca="1"/>
        <v>309783.33520254702</v>
      </c>
      <c r="AR93" s="31">
        <v>31.439999999999998</v>
      </c>
      <c r="AT93" s="31">
        <f ca="1"/>
        <v>82056.655300613565</v>
      </c>
      <c r="AU93" s="31">
        <v>24.72</v>
      </c>
    </row>
    <row r="94" spans="43:47" ht="20.25" customHeight="1">
      <c r="AQ94" s="31">
        <f ca="1"/>
        <v>334171.08269477152</v>
      </c>
      <c r="AR94" s="31">
        <v>31.92</v>
      </c>
      <c r="AT94" s="31">
        <f ca="1"/>
        <v>87139.248190853992</v>
      </c>
      <c r="AU94" s="31">
        <v>24.96</v>
      </c>
    </row>
    <row r="95" spans="43:47" ht="20.25" customHeight="1">
      <c r="AQ95" s="31">
        <f ca="1"/>
        <v>359851.97118290066</v>
      </c>
      <c r="AR95" s="31">
        <v>32.4</v>
      </c>
      <c r="AT95" s="31">
        <f ca="1"/>
        <v>92410.013553350946</v>
      </c>
      <c r="AU95" s="31">
        <v>25.2</v>
      </c>
    </row>
    <row r="96" spans="43:47" ht="20.25" customHeight="1">
      <c r="AQ96" s="31">
        <f ca="1"/>
        <v>386868.0427292845</v>
      </c>
      <c r="AR96" s="31">
        <v>32.879999999999995</v>
      </c>
      <c r="AT96" s="31">
        <f ca="1"/>
        <v>97873.071317841823</v>
      </c>
      <c r="AU96" s="31">
        <v>25.439999999999998</v>
      </c>
    </row>
    <row r="97" spans="43:47" ht="20.25" customHeight="1">
      <c r="AQ97" s="31">
        <f ca="1"/>
        <v>415261.95516742259</v>
      </c>
      <c r="AR97" s="31">
        <v>33.36</v>
      </c>
      <c r="AT97" s="31">
        <f ca="1"/>
        <v>103532.57989976107</v>
      </c>
      <c r="AU97" s="31">
        <v>25.68</v>
      </c>
    </row>
    <row r="98" spans="43:47" ht="20.25" customHeight="1">
      <c r="AQ98" s="31">
        <f ca="1"/>
        <v>445076.98210196255</v>
      </c>
      <c r="AR98" s="31">
        <v>33.839999999999996</v>
      </c>
      <c r="AT98" s="31">
        <f ca="1"/>
        <v>109392.73620023941</v>
      </c>
      <c r="AU98" s="31">
        <v>25.919999999999998</v>
      </c>
    </row>
    <row r="99" spans="43:47" ht="20.25" customHeight="1">
      <c r="AQ99" s="31">
        <f ca="1"/>
        <v>476357.01290870196</v>
      </c>
      <c r="AR99" s="31">
        <v>34.32</v>
      </c>
      <c r="AT99" s="31">
        <f ca="1"/>
        <v>115457.77560610494</v>
      </c>
      <c r="AU99" s="31">
        <v>26.16</v>
      </c>
    </row>
    <row r="100" spans="43:47" ht="20.25" customHeight="1">
      <c r="AQ100" s="31">
        <f ca="1"/>
        <v>509146.55273458693</v>
      </c>
      <c r="AR100" s="31">
        <v>34.799999999999997</v>
      </c>
      <c r="AT100" s="31">
        <f ca="1"/>
        <v>121731.97198988231</v>
      </c>
      <c r="AU100" s="31">
        <v>26.4</v>
      </c>
    </row>
    <row r="101" spans="43:47" ht="20.25" customHeight="1">
      <c r="AQ101" s="31">
        <f ca="1"/>
        <v>543490.72249771422</v>
      </c>
      <c r="AR101" s="31">
        <v>35.28</v>
      </c>
      <c r="AT101" s="31">
        <f ca="1"/>
        <v>128219.6377097931</v>
      </c>
      <c r="AU101" s="31">
        <v>26.64</v>
      </c>
    </row>
    <row r="102" spans="43:47" ht="20.25" customHeight="1">
      <c r="AQ102" s="31">
        <f ca="1"/>
        <v>579435.25888732763</v>
      </c>
      <c r="AR102" s="31">
        <v>35.76</v>
      </c>
      <c r="AT102" s="31">
        <f ca="1"/>
        <v>134925.12360975548</v>
      </c>
      <c r="AU102" s="31">
        <v>26.88</v>
      </c>
    </row>
    <row r="103" spans="43:47" ht="20.25" customHeight="1">
      <c r="AQ103" s="31">
        <f ca="1"/>
        <v>617026.51436382195</v>
      </c>
      <c r="AR103" s="31">
        <v>36.239999999999995</v>
      </c>
      <c r="AT103" s="31">
        <f ca="1"/>
        <v>141852.81901938468</v>
      </c>
      <c r="AU103" s="31">
        <v>27.119999999999997</v>
      </c>
    </row>
    <row r="104" spans="43:47" ht="20.25" customHeight="1">
      <c r="AQ104" s="31">
        <f ca="1"/>
        <v>656311.45715874073</v>
      </c>
      <c r="AR104" s="31">
        <v>36.72</v>
      </c>
      <c r="AT104" s="31">
        <f ca="1"/>
        <v>149007.15175399306</v>
      </c>
      <c r="AU104" s="31">
        <v>27.36</v>
      </c>
    </row>
    <row r="105" spans="43:47" ht="20.25" customHeight="1">
      <c r="AQ105" s="31">
        <f ca="1"/>
        <v>697337.67127477599</v>
      </c>
      <c r="AR105" s="31">
        <v>37.199999999999996</v>
      </c>
      <c r="AT105" s="31">
        <f ca="1"/>
        <v>156392.58811458887</v>
      </c>
      <c r="AU105" s="31">
        <v>27.599999999999998</v>
      </c>
    </row>
    <row r="106" spans="43:47" ht="20.25" customHeight="1">
      <c r="AQ106" s="31">
        <f ca="1"/>
        <v>740153.3564857702</v>
      </c>
      <c r="AR106" s="31">
        <v>37.68</v>
      </c>
      <c r="AT106" s="31">
        <f ca="1"/>
        <v>164013.63288787828</v>
      </c>
      <c r="AU106" s="31">
        <v>27.84</v>
      </c>
    </row>
    <row r="107" spans="43:47" ht="20.25" customHeight="1">
      <c r="AQ107" s="31">
        <f ca="1"/>
        <v>784807.3283367129</v>
      </c>
      <c r="AR107" s="31">
        <v>38.159999999999997</v>
      </c>
      <c r="AT107" s="31">
        <f ca="1"/>
        <v>171874.82934626337</v>
      </c>
      <c r="AU107" s="31">
        <v>28.08</v>
      </c>
    </row>
    <row r="108" spans="43:47" ht="20.25" customHeight="1">
      <c r="AQ108" s="31">
        <f ca="1"/>
        <v>831349.0181437456</v>
      </c>
      <c r="AR108" s="31">
        <v>38.64</v>
      </c>
      <c r="AT108" s="31">
        <f ca="1"/>
        <v>179980.75924784376</v>
      </c>
      <c r="AU108" s="31">
        <v>28.32</v>
      </c>
    </row>
    <row r="109" spans="43:47" ht="20.25" customHeight="1">
      <c r="AQ109" s="31">
        <f ca="1"/>
        <v>879828.47299415641</v>
      </c>
      <c r="AR109" s="31">
        <v>39.119999999999997</v>
      </c>
      <c r="AT109" s="31">
        <f ca="1"/>
        <v>188336.04283641535</v>
      </c>
      <c r="AU109" s="31">
        <v>28.56</v>
      </c>
    </row>
    <row r="110" spans="43:47" ht="20.25" customHeight="1">
      <c r="AQ110" s="31">
        <f ca="1"/>
        <v>930296.35574638529</v>
      </c>
      <c r="AR110" s="31">
        <v>39.6</v>
      </c>
      <c r="AT110" s="31">
        <f ca="1"/>
        <v>196945.33884147118</v>
      </c>
      <c r="AU110" s="31">
        <v>28.8</v>
      </c>
    </row>
    <row r="111" spans="43:47" ht="20.25" customHeight="1">
      <c r="AQ111" s="31">
        <f ca="1"/>
        <v>982803.94503001799</v>
      </c>
      <c r="AR111" s="31">
        <v>40.08</v>
      </c>
      <c r="AT111" s="31">
        <f ca="1"/>
        <v>205813.34447820089</v>
      </c>
      <c r="AU111" s="31">
        <v>29.04</v>
      </c>
    </row>
    <row r="112" spans="43:47" ht="20.25" customHeight="1">
      <c r="AQ112" s="31">
        <f ca="1"/>
        <v>1037403.1352457927</v>
      </c>
      <c r="AR112" s="31">
        <v>40.559999999999995</v>
      </c>
      <c r="AT112" s="31">
        <f ca="1"/>
        <v>214944.79544749117</v>
      </c>
      <c r="AU112" s="31">
        <v>29.279999999999998</v>
      </c>
    </row>
    <row r="113" spans="43:47" ht="20.25" customHeight="1">
      <c r="AQ113" s="31">
        <f ca="1"/>
        <v>1094146.4365655959</v>
      </c>
      <c r="AR113" s="31">
        <v>41.04</v>
      </c>
      <c r="AT113" s="31">
        <f ca="1"/>
        <v>224344.4659359256</v>
      </c>
      <c r="AU113" s="31">
        <v>29.52</v>
      </c>
    </row>
    <row r="114" spans="43:47" ht="20.25" customHeight="1">
      <c r="AQ114" s="31">
        <f ca="1"/>
        <v>1153086.9749324615</v>
      </c>
      <c r="AR114" s="31">
        <v>41.519999999999996</v>
      </c>
      <c r="AT114" s="31">
        <f ca="1"/>
        <v>234017.16861578409</v>
      </c>
      <c r="AU114" s="31">
        <v>29.759999999999998</v>
      </c>
    </row>
    <row r="115" spans="43:47" ht="20.25" customHeight="1">
      <c r="AQ115" s="31">
        <f ca="1"/>
        <v>1214278.4920605747</v>
      </c>
      <c r="AR115" s="31">
        <v>42</v>
      </c>
      <c r="AT115" s="31">
        <f ca="1"/>
        <v>243967.7546450441</v>
      </c>
      <c r="AU115" s="31">
        <v>30</v>
      </c>
    </row>
  </sheetData>
  <sheetProtection algorithmName="SHA-512" hashValue="93SfQkmlHslF1cNB74gf65gNugQ+HtEEW3H2aitwLujUhDMRAdoGPU4BEFsdfLqh6zHAUnasgUfgOER23nc2CQ==" saltValue="pUpR1PD1BOXfcts+z6H3Bw==" spinCount="100000" sheet="1" objects="1" scenarios="1"/>
  <phoneticPr fontId="2"/>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AE847-E06D-42AE-9704-42BA1ACF1EE3}">
  <sheetPr codeName="Sheet25">
    <tabColor theme="0" tint="-0.499984740745262"/>
  </sheetPr>
  <dimension ref="A1:AZ115"/>
  <sheetViews>
    <sheetView showGridLines="0" workbookViewId="0"/>
  </sheetViews>
  <sheetFormatPr defaultColWidth="3.375" defaultRowHeight="20.25" customHeight="1"/>
  <cols>
    <col min="1" max="2" width="3.375" style="31"/>
    <col min="3" max="3" width="27.75" style="31" bestFit="1" customWidth="1"/>
    <col min="4" max="4" width="10" style="31" bestFit="1" customWidth="1"/>
    <col min="5" max="5" width="3.75" style="31" bestFit="1" customWidth="1"/>
    <col min="6" max="9" width="3.375" style="31"/>
    <col min="10" max="10" width="38.75" style="31" bestFit="1" customWidth="1"/>
    <col min="11" max="11" width="9.375" style="31" customWidth="1"/>
    <col min="12" max="12" width="5.375" style="31" bestFit="1" customWidth="1"/>
    <col min="13" max="14" width="3.375" style="31"/>
    <col min="15" max="15" width="3.75" style="31" bestFit="1" customWidth="1"/>
    <col min="16" max="16" width="3.75" style="31" customWidth="1"/>
    <col min="17" max="17" width="27.625" style="31" bestFit="1" customWidth="1"/>
    <col min="18" max="18" width="15.875" style="31" customWidth="1"/>
    <col min="19" max="22" width="3.75" style="31" customWidth="1"/>
    <col min="23" max="25" width="3.375" style="31"/>
    <col min="26" max="26" width="21.375" style="31" bestFit="1" customWidth="1"/>
    <col min="27" max="27" width="21" style="31" bestFit="1" customWidth="1"/>
    <col min="28" max="28" width="3.75" style="31" bestFit="1" customWidth="1"/>
    <col min="29" max="42" width="3.375" style="31"/>
    <col min="43" max="44" width="8.125" style="31" customWidth="1"/>
    <col min="45" max="45" width="3.375" style="31" customWidth="1"/>
    <col min="46" max="47" width="8.125" style="31" customWidth="1"/>
    <col min="48" max="49" width="3.375" style="31"/>
    <col min="50" max="50" width="13.125" style="31" bestFit="1" customWidth="1"/>
    <col min="51" max="51" width="13.25" style="31" customWidth="1"/>
    <col min="52" max="52" width="4.25" style="31" bestFit="1" customWidth="1"/>
    <col min="53" max="16384" width="3.375" style="31"/>
  </cols>
  <sheetData>
    <row r="1" spans="1:52" s="40" customFormat="1" ht="20.25" customHeight="1">
      <c r="A1" s="40" t="s">
        <v>509</v>
      </c>
    </row>
    <row r="2" spans="1:52" s="40" customFormat="1" ht="30">
      <c r="B2" s="41" t="str">
        <f ca="1">_xlfn.LET(
    _xlpm._header, "回転数を数値計算で求める",
    _xlpm._numbering, IFERROR(K8,K9),
    _xlpm._header &amp; "（要求条件番号：" &amp; _xlpm._numbering &amp; "）"
)</f>
        <v>回転数を数値計算で求める（要求条件番号：4）</v>
      </c>
    </row>
    <row r="3" spans="1:52" s="39" customFormat="1" ht="7.5" customHeight="1"/>
    <row r="5" spans="1:52" ht="20.25" customHeight="1">
      <c r="B5" s="31" t="s">
        <v>102</v>
      </c>
      <c r="G5" s="31" t="s">
        <v>101</v>
      </c>
      <c r="N5" s="31" t="s">
        <v>303</v>
      </c>
    </row>
    <row r="6" spans="1:52" ht="20.25" customHeight="1">
      <c r="C6" s="31" t="s">
        <v>302</v>
      </c>
      <c r="D6" s="31">
        <f ca="1">AY7</f>
        <v>20.813765108585358</v>
      </c>
      <c r="E6" s="31" t="s">
        <v>104</v>
      </c>
      <c r="H6" s="31" t="s">
        <v>99</v>
      </c>
      <c r="O6" s="31" t="s">
        <v>301</v>
      </c>
      <c r="V6" s="31" t="s">
        <v>300</v>
      </c>
      <c r="AW6" s="31" t="s">
        <v>299</v>
      </c>
    </row>
    <row r="7" spans="1:52" ht="20.25" customHeight="1">
      <c r="I7" s="31" t="s">
        <v>343</v>
      </c>
      <c r="AX7" s="33" t="s">
        <v>266</v>
      </c>
      <c r="AY7" s="31">
        <f ca="1">_xlfn.LET(
    _xlpm._N_bisection, AA36,
    _xlpm._N_initial, AA32,
    _xlpm._initial_values_are_invalid, AA30,
    _xlpm._m_c_is_out_of_range, NOT(R24),
    _xlpm._N_initial_is_one_of_the_roots, AA31,
    _xlpm._converged, AA35,
    IF(
        OR(
            _xlpm._initial_values_are_invalid,
            _xlpm._m_c_is_out_of_range
        ),
        NA(),
        IF(
            _xlpm._N_initial_is_one_of_the_roots,
            _xlpm._N_initial,
            IF(_xlpm._converged, _xlpm._N_bisection, NA())
        )
    )
)</f>
        <v>20.813765108585358</v>
      </c>
      <c r="AZ7" s="31" t="s">
        <v>104</v>
      </c>
    </row>
    <row r="8" spans="1:52" ht="20.25" customHeight="1">
      <c r="J8" s="33" t="s">
        <v>344</v>
      </c>
      <c r="K8" s="53" cm="1">
        <f t="array" aca="1" ref="K8" ca="1">_xlfn.LET(
    _xlpm._name_sheet, _xlfn.TEXTAFTER(
        _xlfn.TAKE(_xlfn.TEXTSPLIT( CELL("filename",A1), , "\"), -1),
        "]"
    ),
   VALUE(_xlfn.TEXTAFTER(_xlpm._name_sheet, "_"))
)</f>
        <v>4</v>
      </c>
    </row>
    <row r="9" spans="1:52" ht="20.25" customHeight="1">
      <c r="J9" s="33" t="s">
        <v>345</v>
      </c>
      <c r="K9" s="32">
        <v>4</v>
      </c>
      <c r="Q9" s="33" t="s">
        <v>295</v>
      </c>
      <c r="R9" s="31">
        <f ca="1">_xlfn.LET(
    _xlpm._m_c, K10,
    _xlpm._rho, K13,
    _xlpm._N_r, K21,
    _xlpm._D, K20,
    _xlpm._m_c * _xlpm._rho ^ -1 * _xlpm._N_r ^ -1 * _xlpm._D ^ -3
)</f>
        <v>3.1481481481481484</v>
      </c>
      <c r="S9" s="31" t="s">
        <v>84</v>
      </c>
    </row>
    <row r="10" spans="1:52" ht="20.25" customHeight="1">
      <c r="J10" s="33" t="s">
        <v>298</v>
      </c>
      <c r="K10" s="32" cm="1">
        <f t="array" aca="1" ref="K10" ca="1">_xlfn.LET(
    _xlpm._m_c,_xlfn.ANCHORARRAY( prm!A5),
    _xlpm._numbering, IFERROR(K8,K9),
    INDEX(_xlpm._m_c, _xlpm._numbering)
)</f>
        <v>2550</v>
      </c>
      <c r="L10" s="31" t="s">
        <v>92</v>
      </c>
      <c r="AR10" s="48" t="s">
        <v>210</v>
      </c>
    </row>
    <row r="11" spans="1:52" ht="20.25" customHeight="1">
      <c r="J11" s="33" t="s">
        <v>297</v>
      </c>
      <c r="K11" s="32" cm="1">
        <f t="array" aca="1" ref="K11" ca="1">_xlfn.LET(
    _xlpm._dP_c,_xlfn.ANCHORARRAY( prm!B5),
    _xlpm._numbering, IFERROR(K8,K9),
    INDEX(_xlpm._dP_c, _xlpm._numbering)
)</f>
        <v>117.80799999999998</v>
      </c>
      <c r="L11" s="31" t="s">
        <v>296</v>
      </c>
      <c r="P11" s="31" t="s">
        <v>294</v>
      </c>
      <c r="AR11" s="32">
        <v>1</v>
      </c>
      <c r="AT11" s="31" t="s">
        <v>336</v>
      </c>
    </row>
    <row r="12" spans="1:52" ht="20.25" customHeight="1">
      <c r="I12" s="31" t="s">
        <v>342</v>
      </c>
      <c r="J12" s="33"/>
      <c r="K12" s="33"/>
      <c r="L12" s="33"/>
      <c r="AQ12" s="37" t="s">
        <v>202</v>
      </c>
      <c r="AR12" s="37" t="s">
        <v>201</v>
      </c>
      <c r="AT12" s="37" t="s">
        <v>202</v>
      </c>
      <c r="AU12" s="37" t="s">
        <v>201</v>
      </c>
    </row>
    <row r="13" spans="1:52" ht="20.25" customHeight="1">
      <c r="J13" s="33" t="s">
        <v>115</v>
      </c>
      <c r="K13" s="32">
        <f>10^3</f>
        <v>1000</v>
      </c>
      <c r="L13" s="31" t="s">
        <v>114</v>
      </c>
      <c r="AQ13" s="47" t="s">
        <v>335</v>
      </c>
      <c r="AR13" s="47" t="s">
        <v>334</v>
      </c>
      <c r="AT13" s="47" t="s">
        <v>335</v>
      </c>
      <c r="AU13" s="47" t="s">
        <v>334</v>
      </c>
    </row>
    <row r="14" spans="1:52" ht="20.25" customHeight="1">
      <c r="J14" s="33"/>
      <c r="AQ14" s="35" t="s">
        <v>84</v>
      </c>
      <c r="AR14" s="35" t="s">
        <v>84</v>
      </c>
      <c r="AT14" s="35" t="s">
        <v>84</v>
      </c>
      <c r="AU14" s="35" t="s">
        <v>84</v>
      </c>
    </row>
    <row r="15" spans="1:52" ht="20.25" customHeight="1">
      <c r="I15" s="31" t="s">
        <v>529</v>
      </c>
      <c r="X15" s="31" t="s">
        <v>293</v>
      </c>
      <c r="AQ15" s="31" cm="1">
        <f t="array" aca="1" ref="AQ15:AQ115" ca="1">_xlfn.LET(
    _xlpm._coefficient, TRANSPOSE(AA17:AA21),
    _xlpm._values_N,_xlfn.ANCHORARRAY( AR15),
    _xlfn.MAP(
        _xlpm._values_N,
        _xlfn.LAMBDA(_xlpm._N,
            SUM(
                _xlpm._coefficient *
                    _xlfn.HSTACK(_xlpm._N ^ {4,3,2,1}, 1)
            )
        )
    )
)</f>
        <v>-94476.871233356389</v>
      </c>
      <c r="AR15" s="31" cm="1">
        <f t="array" ref="AR15:AR115">_xlfn.LET(
    _xlpm._number_divisions, 100,
    _xlpm._rate_extrapolation, AR11,
    _xlpm._N0, AA24,
    _xlpm._N1, AA25,
    _xlpm._extrapolation, (_xlpm._N1 - _xlpm._N0) * _xlpm._rate_extrapolation,
    ((_xlpm._N1 - _xlpm._N0) + _xlpm._extrapolation) / _xlpm._number_divisions *
        (_xlfn.SEQUENCE(_xlpm._number_divisions + 1) - 1) + _xlpm._N0 -
        _xlpm._extrapolation / 2
)</f>
        <v>-6</v>
      </c>
      <c r="AT15" s="31" cm="1">
        <f t="array" aca="1" ref="AT15:AT115" ca="1">_xlfn.LET(
    _xlpm._coefficient, TRANSPOSE(AA17:AA21),
    _xlpm._values_N,_xlfn.ANCHORARRAY( AU15),
    _xlfn.MAP(
        _xlpm._values_N,
        _xlfn.LAMBDA(_xlpm._N,
            SUM(
                _xlpm._coefficient *
                    _xlfn.HSTACK(_xlpm._N ^ {4,3,2,1}, 1)
            )
        )
    )
)</f>
        <v>-26510.838935248816</v>
      </c>
      <c r="AU15" s="31" cm="1">
        <f t="array" ref="AU15:AU115">_xlfn.LET(
    _xlpm._number_divisions, 100,
    _xlpm._N0, AA24,
    _xlpm._N1, AA25,
    (_xlpm._N1 - _xlpm._N0) / _xlpm._number_divisions *
        (_xlfn.SEQUENCE(_xlpm._number_divisions + 1) - 1) + _xlpm._N0
)</f>
        <v>6</v>
      </c>
    </row>
    <row r="16" spans="1:52" ht="20.25" customHeight="1">
      <c r="J16" s="33" t="s">
        <v>530</v>
      </c>
      <c r="K16" s="32">
        <f>'C1'!E14</f>
        <v>1.832382785185185E-2</v>
      </c>
      <c r="L16" s="31" t="s">
        <v>5</v>
      </c>
      <c r="Y16" s="31" t="s">
        <v>292</v>
      </c>
      <c r="AQ16" s="31">
        <f ca="1"/>
        <v>-89653.09608655647</v>
      </c>
      <c r="AR16" s="31">
        <v>-5.52</v>
      </c>
      <c r="AT16" s="31">
        <f ca="1"/>
        <v>-26203.329152651473</v>
      </c>
      <c r="AU16" s="31">
        <v>6.24</v>
      </c>
    </row>
    <row r="17" spans="9:47" ht="20.25" customHeight="1">
      <c r="J17" s="33" t="s">
        <v>531</v>
      </c>
      <c r="K17" s="32">
        <f>'C1'!E15</f>
        <v>5.6803866333333337</v>
      </c>
      <c r="L17" s="31" t="s">
        <v>5</v>
      </c>
      <c r="Q17" s="33" t="s">
        <v>291</v>
      </c>
      <c r="R17" s="31">
        <f>_xlfn.LET(
    _xlpm._rho, K13,
    _xlpm._N_r, K21,
    _xlpm._D, K20,
    _xlpm._C_f_p, K33,
    _xlpm._C_f_min_sample, K16,
    _xlpm._local_maximum_exists, K32,
    IF(
        _xlpm._local_maximum_exists,
        _xlpm._C_f_p,
        _xlpm._C_f_min_sample
    )
)</f>
        <v>0.28465364146978933</v>
      </c>
      <c r="S17" s="31" t="s">
        <v>84</v>
      </c>
      <c r="Z17" s="33" t="s">
        <v>290</v>
      </c>
      <c r="AA17" s="31">
        <f>_xlfn.LET(
    _xlpm._alpha_5, K30,
    _xlpm._rho, K13,
    _xlpm._D, K20,
    _xlpm._rho * _xlpm._D ^ 2 * _xlpm._alpha_5 * 10 ^ -3
)</f>
        <v>0.48332932491123698</v>
      </c>
      <c r="AQ17" s="31">
        <f ca="1"/>
        <v>-84986.812230046518</v>
      </c>
      <c r="AR17" s="31">
        <v>-5.04</v>
      </c>
      <c r="AT17" s="31">
        <f ca="1"/>
        <v>-25925.959053276318</v>
      </c>
      <c r="AU17" s="31">
        <v>6.48</v>
      </c>
    </row>
    <row r="18" spans="9:47" ht="20.25" customHeight="1">
      <c r="Z18" s="33" t="s">
        <v>288</v>
      </c>
      <c r="AA18" s="31">
        <f ca="1">_xlfn.LET(
    _xlpm._alpha_4, K29,
    _xlpm._m_c, K10,
    _xlpm._D, K20,
    _xlpm._alpha_4 * _xlpm._m_c * _xlpm._D ^ -1 * 10 ^ -3
)</f>
        <v>1.578163889755446</v>
      </c>
      <c r="AQ18" s="31">
        <f ca="1"/>
        <v>-80483.745952662241</v>
      </c>
      <c r="AR18" s="31">
        <v>-4.5600000000000005</v>
      </c>
      <c r="AT18" s="31">
        <f ca="1"/>
        <v>-25677.577866931824</v>
      </c>
      <c r="AU18" s="31">
        <v>6.72</v>
      </c>
    </row>
    <row r="19" spans="9:47" ht="20.25" customHeight="1">
      <c r="I19" s="31" t="s">
        <v>112</v>
      </c>
      <c r="J19" s="33"/>
      <c r="Z19" s="33" t="s">
        <v>286</v>
      </c>
      <c r="AA19" s="31">
        <f ca="1">_xlfn.LET(
    _xlpm._alpha_3, K28,
    _xlpm._m_c, K10,
    _xlpm._rho, K13,
    _xlpm._D, K20,
    _xlpm._dP_c, K11,
    _xlpm._alpha_3 * _xlpm._m_c ^ 2 * 10 ^ -3 * _xlpm._rho ^ -1 * _xlpm._D ^ -4 - _xlpm._dP_c
)</f>
        <v>-404.11836595231142</v>
      </c>
      <c r="AQ19" s="31">
        <f ca="1"/>
        <v>-76149.00777209019</v>
      </c>
      <c r="AR19" s="31">
        <v>-4.08</v>
      </c>
      <c r="AT19" s="31">
        <f ca="1"/>
        <v>-25456.996337729644</v>
      </c>
      <c r="AU19" s="31">
        <v>6.96</v>
      </c>
    </row>
    <row r="20" spans="9:47" ht="20.25" customHeight="1">
      <c r="J20" s="33" t="s">
        <v>111</v>
      </c>
      <c r="K20" s="32">
        <v>0.3</v>
      </c>
      <c r="L20" s="31" t="s">
        <v>110</v>
      </c>
      <c r="Z20" s="33" t="s">
        <v>285</v>
      </c>
      <c r="AA20" s="31">
        <f ca="1">_xlfn.LET(
    _xlpm._alpha_2, K27,
    _xlpm._m_c, K10,
    _xlpm._rho, K13,
    _xlpm._D, K20,
    _xlpm._alpha_2 * _xlpm._m_c ^ 3 * 10 ^ -3 * _xlpm._rho ^ -2 * _xlpm._D ^ -7
)</f>
        <v>5607.0221248111029</v>
      </c>
      <c r="AQ20" s="31">
        <f ca="1"/>
        <v>-71987.092434867693</v>
      </c>
      <c r="AR20" s="31">
        <v>-3.5999999999999996</v>
      </c>
      <c r="AT20" s="31">
        <f ca="1"/>
        <v>-25262.986724084622</v>
      </c>
      <c r="AU20" s="31">
        <v>7.2</v>
      </c>
    </row>
    <row r="21" spans="9:47" ht="20.25" customHeight="1">
      <c r="J21" s="33" t="s">
        <v>105</v>
      </c>
      <c r="K21" s="32">
        <f>prm!D5</f>
        <v>30</v>
      </c>
      <c r="L21" s="31" t="s">
        <v>104</v>
      </c>
      <c r="Q21" s="33" t="s">
        <v>283</v>
      </c>
      <c r="R21" s="31">
        <f>K17</f>
        <v>5.6803866333333337</v>
      </c>
      <c r="S21" s="31" t="s">
        <v>84</v>
      </c>
      <c r="Z21" s="33" t="s">
        <v>282</v>
      </c>
      <c r="AA21" s="31">
        <f ca="1">_xlfn.LET(
    _xlpm._alpha_1, K26,
    _xlpm._m_c, K10,
    _xlpm._rho, K13,
    _xlpm._D, K20,
    _xlpm._alpha_1 * _xlpm._m_c ^ 4 * 10 ^ -3 * _xlpm._rho ^ -3 * _xlpm._D ^ -10
)</f>
        <v>-46571.988715104359</v>
      </c>
      <c r="AQ21" s="31">
        <f ca="1"/>
        <v>-68001.87891638295</v>
      </c>
      <c r="AR21" s="31">
        <v>-3.120000000000001</v>
      </c>
      <c r="AT21" s="31">
        <f ca="1"/>
        <v>-25094.282798714758</v>
      </c>
      <c r="AU21" s="31">
        <v>7.4399999999999995</v>
      </c>
    </row>
    <row r="22" spans="9:47" ht="20.25" customHeight="1">
      <c r="J22" s="33" t="s">
        <v>289</v>
      </c>
      <c r="K22" s="32">
        <f>prm!E5</f>
        <v>0.2</v>
      </c>
      <c r="L22" s="31" t="s">
        <v>84</v>
      </c>
      <c r="Z22" s="33"/>
      <c r="AQ22" s="31">
        <f ca="1"/>
        <v>-64196.630420874848</v>
      </c>
      <c r="AR22" s="31">
        <v>-2.6400000000000006</v>
      </c>
      <c r="AT22" s="31">
        <f ca="1"/>
        <v>-24949.579848641231</v>
      </c>
      <c r="AU22" s="31">
        <v>7.68</v>
      </c>
    </row>
    <row r="23" spans="9:47" ht="20.25" customHeight="1">
      <c r="J23" s="33" t="s">
        <v>287</v>
      </c>
      <c r="K23" s="32">
        <f>prm!F5</f>
        <v>1</v>
      </c>
      <c r="L23" s="31" t="s">
        <v>84</v>
      </c>
      <c r="P23" s="31" t="s">
        <v>281</v>
      </c>
      <c r="Y23" s="31" t="s">
        <v>280</v>
      </c>
      <c r="AQ23" s="31">
        <f ca="1"/>
        <v>-60573.994381433207</v>
      </c>
      <c r="AR23" s="31">
        <v>-2.16</v>
      </c>
      <c r="AT23" s="31">
        <f ca="1"/>
        <v>-24827.53467518841</v>
      </c>
      <c r="AU23" s="31">
        <v>7.92</v>
      </c>
    </row>
    <row r="24" spans="9:47" ht="20.25" customHeight="1">
      <c r="Q24" s="33" t="s">
        <v>279</v>
      </c>
      <c r="R24" s="31" t="b">
        <f ca="1">_xlfn.LET(
    _xlpm._C_f_c, R9,
    _xlpm._C_f_min, R17,
    _xlpm._C_f_max, R21,
    AND(_xlpm._C_f_min &lt;= _xlpm._C_f_c, _xlpm._C_f_c &lt;= _xlpm._C_f_max)
)</f>
        <v>1</v>
      </c>
      <c r="Z24" s="33" t="s">
        <v>278</v>
      </c>
      <c r="AA24" s="31">
        <f>_xlfn.LET(
    _xlpm._N_r, K21,
    _xlpm._R_N_min, K22,
    _xlpm._N_r * _xlpm._R_N_min
)</f>
        <v>6</v>
      </c>
      <c r="AB24" s="31" t="s">
        <v>104</v>
      </c>
      <c r="AQ24" s="31">
        <f ca="1"/>
        <v>-57136.002459998577</v>
      </c>
      <c r="AR24" s="31">
        <v>-1.6799999999999997</v>
      </c>
      <c r="AT24" s="31">
        <f ca="1"/>
        <v>-24726.765593983822</v>
      </c>
      <c r="AU24" s="31">
        <v>8.16</v>
      </c>
    </row>
    <row r="25" spans="9:47" ht="20.25" customHeight="1">
      <c r="I25" s="31" t="s">
        <v>284</v>
      </c>
      <c r="Z25" s="33" t="s">
        <v>277</v>
      </c>
      <c r="AA25" s="31">
        <f>_xlfn.LET(
    _xlpm._N_r, K21,
    _xlpm._R_N_max, K23,
    _xlpm._N_r * _xlpm._R_N_max
)</f>
        <v>30</v>
      </c>
      <c r="AB25" s="31" t="s">
        <v>104</v>
      </c>
      <c r="AQ25" s="31">
        <f ca="1"/>
        <v>-53884.070547362368</v>
      </c>
      <c r="AR25" s="31">
        <v>-1.1999999999999993</v>
      </c>
      <c r="AT25" s="31">
        <f ca="1"/>
        <v>-24645.852434958182</v>
      </c>
      <c r="AU25" s="31">
        <v>8.4</v>
      </c>
    </row>
    <row r="26" spans="9:47" ht="20.25" customHeight="1">
      <c r="J26" s="33" t="s">
        <v>235</v>
      </c>
      <c r="K26" s="32">
        <f>'C1'!E7</f>
        <v>-6.5039412408014396E-3</v>
      </c>
      <c r="Z26" s="33"/>
      <c r="AQ26" s="31">
        <f ca="1"/>
        <v>-50818.998763166775</v>
      </c>
      <c r="AR26" s="31">
        <v>-0.72000000000000064</v>
      </c>
      <c r="AT26" s="31">
        <f ca="1"/>
        <v>-24583.336542345369</v>
      </c>
      <c r="AU26" s="31">
        <v>8.64</v>
      </c>
    </row>
    <row r="27" spans="9:47" ht="20.25" customHeight="1">
      <c r="J27" s="33" t="s">
        <v>227</v>
      </c>
      <c r="K27" s="32">
        <f>'C1'!E8</f>
        <v>7.3953802908153773E-2</v>
      </c>
      <c r="Y27" s="31" t="s">
        <v>276</v>
      </c>
      <c r="AQ27" s="31">
        <f ca="1"/>
        <v>-47940.971455904786</v>
      </c>
      <c r="AR27" s="31">
        <v>-0.24000000000000021</v>
      </c>
      <c r="AT27" s="31">
        <f ca="1"/>
        <v>-24537.720774682461</v>
      </c>
      <c r="AU27" s="31">
        <v>8.879999999999999</v>
      </c>
    </row>
    <row r="28" spans="9:47" ht="20.25" customHeight="1">
      <c r="J28" s="33" t="s">
        <v>216</v>
      </c>
      <c r="K28" s="32">
        <f>'C1'!E9</f>
        <v>-0.35664959080564745</v>
      </c>
      <c r="Z28" s="33" t="s">
        <v>337</v>
      </c>
      <c r="AA28" s="31" cm="1">
        <f t="array" aca="1" ref="AA28" ca="1">_xlfn.LET(
    _xlpm._coefficient, TRANSPOSE(AA17:AA21),
    _xlpm._N, AA24,
    SUM(_xlpm._coefficient * _xlfn.HSTACK(_xlpm._N ^ {4,3,2,1}, 1))
)</f>
        <v>-26510.838935248816</v>
      </c>
      <c r="AQ28" s="31">
        <f ca="1"/>
        <v>-45249.55720292023</v>
      </c>
      <c r="AR28" s="31">
        <v>0.24000000000000021</v>
      </c>
      <c r="AT28" s="31">
        <f ca="1"/>
        <v>-24507.469504809669</v>
      </c>
      <c r="AU28" s="31">
        <v>9.120000000000001</v>
      </c>
    </row>
    <row r="29" spans="9:47" ht="20.25" customHeight="1">
      <c r="J29" s="33" t="s">
        <v>207</v>
      </c>
      <c r="K29" s="32">
        <f>'C1'!E10</f>
        <v>0.18566633997122894</v>
      </c>
      <c r="Z29" s="33" t="s">
        <v>338</v>
      </c>
      <c r="AA29" s="31" cm="1">
        <f t="array" aca="1" ref="AA29" ca="1">_xlfn.LET(
    _xlpm._coefficient, TRANSPOSE(AA17:AA21),
    _xlpm._N, AA25,
    SUM(_xlpm._coefficient * _xlfn.HSTACK(_xlpm._N ^ {4,3,2,1}, 1))
)</f>
        <v>192039.32387364743</v>
      </c>
      <c r="AQ29" s="31">
        <f ca="1"/>
        <v>-42743.708810407741</v>
      </c>
      <c r="AR29" s="31">
        <v>0.71999999999999886</v>
      </c>
      <c r="AT29" s="31">
        <f ca="1"/>
        <v>-24491.008619870416</v>
      </c>
      <c r="AU29" s="31">
        <v>9.36</v>
      </c>
    </row>
    <row r="30" spans="9:47" ht="20.25" customHeight="1">
      <c r="J30" s="33" t="s">
        <v>203</v>
      </c>
      <c r="K30" s="32">
        <f>'C1'!E11</f>
        <v>5.3703258323470777</v>
      </c>
      <c r="Z30" s="33" t="s">
        <v>275</v>
      </c>
      <c r="AA30" s="31" t="b">
        <f ca="1">_xlfn.LET(
    _xlpm._f_N_min, AA28,
    _xlpm._f_N_max, AA29,
    _xlpm._f_N_min * _xlpm._f_N_max &gt;= 0
)</f>
        <v>0</v>
      </c>
      <c r="AQ30" s="31">
        <f ca="1"/>
        <v>-40421.763313412732</v>
      </c>
      <c r="AR30" s="31">
        <v>1.1999999999999993</v>
      </c>
      <c r="AT30" s="31">
        <f ca="1"/>
        <v>-24486.725521311309</v>
      </c>
      <c r="AU30" s="31">
        <v>9.6</v>
      </c>
    </row>
    <row r="31" spans="9:47" ht="20.25" customHeight="1">
      <c r="Z31" s="33" t="s">
        <v>273</v>
      </c>
      <c r="AA31" s="31" t="b">
        <f ca="1">_xlfn.LET(
    _xlpm._f_N_min, AA28,
    _xlpm._f_N_max, AA29,
    _xlpm._epsilon, K37,
    _xlpm._f_N_min_is_one_of_the_roots, ABS(_xlpm._f_N_min) &lt;= _xlpm._epsilon,
    _xlpm._f_N_max_is_one_of_the_roots, ABS(_xlpm._f_N_max) &lt;= _xlpm._epsilon,
    _xlfn.XOR(
        _xlpm._f_N_min_is_one_of_the_roots,
        _xlpm._f_N_max_is_one_of_the_roots
    )
)</f>
        <v>0</v>
      </c>
      <c r="AQ31" s="31">
        <f ca="1"/>
        <v>-38281.441975831462</v>
      </c>
      <c r="AR31" s="31">
        <v>1.6799999999999997</v>
      </c>
      <c r="AT31" s="31">
        <f ca="1"/>
        <v>-24492.969124882082</v>
      </c>
      <c r="AU31" s="31">
        <v>9.84</v>
      </c>
    </row>
    <row r="32" spans="9:47" ht="20.25" customHeight="1">
      <c r="J32" s="33" t="s">
        <v>176</v>
      </c>
      <c r="K32" s="32" t="b">
        <f>'C1'!E18</f>
        <v>1</v>
      </c>
      <c r="Z32" s="33" t="s">
        <v>270</v>
      </c>
      <c r="AA32" s="31" t="e">
        <f ca="1">_xlfn.LET(
    _xlpm._f_N_min, AA28,
    _xlpm._f_N_max, AA29,
    _xlpm._epsilon, K37,
    _xlpm._f_N_min_is_one_of_the_roots, ABS(_xlpm._f_N_min) &lt;= _xlpm._epsilon,
    _xlpm._f_N_max_is_one_of_the_roots, ABS(_xlpm._f_N_max) &lt;= _xlpm._epsilon,
    IF(
        _xlfn.XOR(
            _xlpm._f_N_min_is_one_of_the_roots,
            _xlpm._f_N_max_is_one_of_the_roots
        ),
        IF(
            _xlpm._f_N_min_is_one_of_the_roots,
            _xlpm._f_N_min,
            IF(_xlpm._f_N_max_is_one_of_the_roots, _xlpm._f_N_max, NA())
        ),
        NA()
    )
)</f>
        <v>#N/A</v>
      </c>
      <c r="AQ32" s="31">
        <f ca="1"/>
        <v>-36319.85029041097</v>
      </c>
      <c r="AR32" s="31">
        <v>2.16</v>
      </c>
      <c r="AT32" s="31">
        <f ca="1"/>
        <v>-24508.049860635685</v>
      </c>
      <c r="AU32" s="31">
        <v>10.08</v>
      </c>
    </row>
    <row r="33" spans="9:47" ht="20.25" customHeight="1">
      <c r="J33" s="33" t="s">
        <v>172</v>
      </c>
      <c r="K33" s="32">
        <f>'C1'!E19</f>
        <v>0.28465364146978933</v>
      </c>
      <c r="L33" s="31" t="s">
        <v>50</v>
      </c>
      <c r="AQ33" s="31">
        <f ca="1"/>
        <v>-34533.477978749135</v>
      </c>
      <c r="AR33" s="31">
        <v>2.6400000000000006</v>
      </c>
      <c r="AT33" s="31">
        <f ca="1"/>
        <v>-24530.239672928241</v>
      </c>
      <c r="AU33" s="31">
        <v>10.32</v>
      </c>
    </row>
    <row r="34" spans="9:47" ht="20.25" customHeight="1">
      <c r="Y34" s="31" t="s">
        <v>268</v>
      </c>
      <c r="AQ34" s="31">
        <f ca="1"/>
        <v>-32918.198991294623</v>
      </c>
      <c r="AR34" s="31">
        <v>3.1199999999999992</v>
      </c>
      <c r="AT34" s="31">
        <f ca="1"/>
        <v>-24557.772020419034</v>
      </c>
      <c r="AU34" s="31">
        <v>10.559999999999999</v>
      </c>
    </row>
    <row r="35" spans="9:47" ht="20.25" customHeight="1">
      <c r="I35" s="31" t="s">
        <v>274</v>
      </c>
      <c r="Z35" s="33" t="s">
        <v>267</v>
      </c>
      <c r="AA35" s="31" t="b">
        <f ca="1">ISNUMBER(AA36)</f>
        <v>1</v>
      </c>
      <c r="AQ35" s="31">
        <f ca="1"/>
        <v>-31469.271507346904</v>
      </c>
      <c r="AR35" s="31">
        <v>3.5999999999999996</v>
      </c>
      <c r="AT35" s="31">
        <f ca="1"/>
        <v>-24588.841876070532</v>
      </c>
      <c r="AU35" s="31">
        <v>10.8</v>
      </c>
    </row>
    <row r="36" spans="9:47" ht="20.25" customHeight="1">
      <c r="J36" s="33" t="s">
        <v>272</v>
      </c>
      <c r="K36" s="32">
        <f>10^3</f>
        <v>1000</v>
      </c>
      <c r="L36" s="31" t="s">
        <v>271</v>
      </c>
      <c r="Z36" s="33" t="s">
        <v>266</v>
      </c>
      <c r="AA36" s="31" cm="1">
        <f t="array" aca="1" ref="AA36" ca="1">_xlfn.LET(
    _xlpm._a4, AA17,
    _xlpm._a3, AA18,
    _xlpm._a2, AA19,
    _xlpm._a1, AA20,
    _xlpm._a0, AA21,
    _xlpm._N_min, AA24,
    _xlpm._N_max, AA25,
    _xlpm._n_iteration_max, K36,
    _xlpm._epsilon, K37,
    _bisection.quartic_equation(
        _xlpm._a4,
        _xlpm._a3,
        _xlpm._a2,
        _xlpm._a1,
        _xlpm._a0,
        _xlpm._N_min,
        _xlpm._N_max,
        _xlpm._n_iteration_max,
        _xlpm._epsilon
    )
)</f>
        <v>20.813765108585358</v>
      </c>
      <c r="AB36" s="31" t="s">
        <v>104</v>
      </c>
      <c r="AQ36" s="31">
        <f ca="1"/>
        <v>-30181.337935056283</v>
      </c>
      <c r="AR36" s="31">
        <v>4.0799999999999983</v>
      </c>
      <c r="AT36" s="31">
        <f ca="1"/>
        <v>-24621.605727148366</v>
      </c>
      <c r="AU36" s="31">
        <v>11.04</v>
      </c>
    </row>
    <row r="37" spans="9:47" ht="20.25" customHeight="1">
      <c r="J37" s="33" t="s">
        <v>269</v>
      </c>
      <c r="K37" s="32">
        <f>10^-3</f>
        <v>1E-3</v>
      </c>
      <c r="AQ37" s="31">
        <f ca="1"/>
        <v>-29048.424911423848</v>
      </c>
      <c r="AR37" s="31">
        <v>4.5599999999999987</v>
      </c>
      <c r="AT37" s="31">
        <f ca="1"/>
        <v>-24654.181575221373</v>
      </c>
      <c r="AU37" s="31">
        <v>11.28</v>
      </c>
    </row>
    <row r="38" spans="9:47" ht="20.25" customHeight="1">
      <c r="AQ38" s="31">
        <f ca="1"/>
        <v>-28063.943302301508</v>
      </c>
      <c r="AR38" s="31">
        <v>5.0399999999999991</v>
      </c>
      <c r="AT38" s="31">
        <f ca="1"/>
        <v>-24684.648936161524</v>
      </c>
      <c r="AU38" s="31">
        <v>11.52</v>
      </c>
    </row>
    <row r="39" spans="9:47" ht="20.25" customHeight="1">
      <c r="AQ39" s="31">
        <f ca="1"/>
        <v>-27220.68820239199</v>
      </c>
      <c r="AR39" s="31">
        <v>5.52</v>
      </c>
      <c r="AT39" s="31">
        <f ca="1"/>
        <v>-24711.048840144002</v>
      </c>
      <c r="AU39" s="31">
        <v>11.76</v>
      </c>
    </row>
    <row r="40" spans="9:47" ht="20.25" customHeight="1">
      <c r="AQ40" s="31">
        <f ca="1"/>
        <v>-26510.838935248816</v>
      </c>
      <c r="AR40" s="31">
        <v>6</v>
      </c>
      <c r="AT40" s="31">
        <f ca="1"/>
        <v>-24731.383831647152</v>
      </c>
      <c r="AU40" s="31">
        <v>12</v>
      </c>
    </row>
    <row r="41" spans="9:47" ht="20.25" customHeight="1">
      <c r="AQ41" s="31">
        <f ca="1"/>
        <v>-25925.959053276318</v>
      </c>
      <c r="AR41" s="31">
        <v>6.48</v>
      </c>
      <c r="AT41" s="31">
        <f ca="1"/>
        <v>-24743.617969452476</v>
      </c>
      <c r="AU41" s="31">
        <v>12.24</v>
      </c>
    </row>
    <row r="42" spans="9:47" ht="20.25" customHeight="1">
      <c r="AQ42" s="31">
        <f ca="1"/>
        <v>-25456.996337729648</v>
      </c>
      <c r="AR42" s="31">
        <v>6.9600000000000009</v>
      </c>
      <c r="AT42" s="31">
        <f ca="1"/>
        <v>-24745.676826644682</v>
      </c>
      <c r="AU42" s="31">
        <v>12.48</v>
      </c>
    </row>
    <row r="43" spans="9:47" ht="20.25" customHeight="1">
      <c r="AQ43" s="31">
        <f ca="1"/>
        <v>-25094.282798714758</v>
      </c>
      <c r="AR43" s="31">
        <v>7.4399999999999977</v>
      </c>
      <c r="AT43" s="31">
        <f ca="1"/>
        <v>-24735.447490611645</v>
      </c>
      <c r="AU43" s="31">
        <v>12.719999999999999</v>
      </c>
    </row>
    <row r="44" spans="9:47" ht="20.25" customHeight="1">
      <c r="AQ44" s="31">
        <f ca="1"/>
        <v>-24827.534675188414</v>
      </c>
      <c r="AR44" s="31">
        <v>7.9200000000000017</v>
      </c>
      <c r="AT44" s="31">
        <f ca="1"/>
        <v>-24710.778563044405</v>
      </c>
      <c r="AU44" s="31">
        <v>12.96</v>
      </c>
    </row>
    <row r="45" spans="9:47" ht="20.25" customHeight="1">
      <c r="AQ45" s="31">
        <f ca="1"/>
        <v>-24645.852434958178</v>
      </c>
      <c r="AR45" s="31">
        <v>8.3999999999999986</v>
      </c>
      <c r="AT45" s="31">
        <f ca="1"/>
        <v>-24669.480159937171</v>
      </c>
      <c r="AU45" s="31">
        <v>13.2</v>
      </c>
    </row>
    <row r="46" spans="9:47" ht="20.25" customHeight="1">
      <c r="AQ46" s="31">
        <f ca="1"/>
        <v>-24537.720774682461</v>
      </c>
      <c r="AR46" s="31">
        <v>8.879999999999999</v>
      </c>
      <c r="AT46" s="31">
        <f ca="1"/>
        <v>-24609.323911587366</v>
      </c>
      <c r="AU46" s="31">
        <v>13.44</v>
      </c>
    </row>
    <row r="47" spans="9:47" ht="20.25" customHeight="1">
      <c r="AQ47" s="31">
        <f ca="1"/>
        <v>-24491.008619870416</v>
      </c>
      <c r="AR47" s="31">
        <v>9.36</v>
      </c>
      <c r="AT47" s="31">
        <f ca="1"/>
        <v>-24528.042962595537</v>
      </c>
      <c r="AU47" s="31">
        <v>13.68</v>
      </c>
    </row>
    <row r="48" spans="9:47" ht="20.25" customHeight="1">
      <c r="AQ48" s="31">
        <f ca="1"/>
        <v>-24492.969124882082</v>
      </c>
      <c r="AR48" s="31">
        <v>9.84</v>
      </c>
      <c r="AT48" s="31">
        <f ca="1"/>
        <v>-24423.33197186546</v>
      </c>
      <c r="AU48" s="31">
        <v>13.92</v>
      </c>
    </row>
    <row r="49" spans="43:47" ht="20.25" customHeight="1">
      <c r="AQ49" s="31">
        <f ca="1"/>
        <v>-24530.239672928241</v>
      </c>
      <c r="AR49" s="31">
        <v>10.32</v>
      </c>
      <c r="AT49" s="31">
        <f ca="1"/>
        <v>-24292.847112604046</v>
      </c>
      <c r="AU49" s="31">
        <v>14.16</v>
      </c>
    </row>
    <row r="50" spans="43:47" ht="20.25" customHeight="1">
      <c r="AQ50" s="31">
        <f ca="1"/>
        <v>-24588.841876070532</v>
      </c>
      <c r="AR50" s="31">
        <v>10.8</v>
      </c>
      <c r="AT50" s="31">
        <f ca="1"/>
        <v>-24134.20607232138</v>
      </c>
      <c r="AU50" s="31">
        <v>14.4</v>
      </c>
    </row>
    <row r="51" spans="43:47" ht="20.25" customHeight="1">
      <c r="AQ51" s="31">
        <f ca="1"/>
        <v>-24654.181575221373</v>
      </c>
      <c r="AR51" s="31">
        <v>11.280000000000001</v>
      </c>
      <c r="AT51" s="31">
        <f ca="1"/>
        <v>-23944.988052830748</v>
      </c>
      <c r="AU51" s="31">
        <v>14.64</v>
      </c>
    </row>
    <row r="52" spans="43:47" ht="20.25" customHeight="1">
      <c r="AQ52" s="31">
        <f ca="1"/>
        <v>-24711.048840144009</v>
      </c>
      <c r="AR52" s="31">
        <v>11.759999999999998</v>
      </c>
      <c r="AT52" s="31">
        <f ca="1"/>
        <v>-23722.733770248604</v>
      </c>
      <c r="AU52" s="31">
        <v>14.879999999999999</v>
      </c>
    </row>
    <row r="53" spans="43:47" ht="20.25" customHeight="1">
      <c r="AQ53" s="31">
        <f ca="1"/>
        <v>-24743.617969452484</v>
      </c>
      <c r="AR53" s="31">
        <v>12.239999999999998</v>
      </c>
      <c r="AT53" s="31">
        <f ca="1"/>
        <v>-23464.945454994573</v>
      </c>
      <c r="AU53" s="31">
        <v>15.12</v>
      </c>
    </row>
    <row r="54" spans="43:47" ht="20.25" customHeight="1">
      <c r="AQ54" s="31">
        <f ca="1"/>
        <v>-24735.447490611645</v>
      </c>
      <c r="AR54" s="31">
        <v>12.719999999999999</v>
      </c>
      <c r="AT54" s="31">
        <f ca="1"/>
        <v>-23169.086851791457</v>
      </c>
      <c r="AU54" s="31">
        <v>15.36</v>
      </c>
    </row>
    <row r="55" spans="43:47" ht="20.25" customHeight="1">
      <c r="AQ55" s="31">
        <f ca="1"/>
        <v>-24669.480159937171</v>
      </c>
      <c r="AR55" s="31">
        <v>13.2</v>
      </c>
      <c r="AT55" s="31">
        <f ca="1"/>
        <v>-22832.583219665241</v>
      </c>
      <c r="AU55" s="31">
        <v>15.6</v>
      </c>
    </row>
    <row r="56" spans="43:47" ht="20.25" customHeight="1">
      <c r="AQ56" s="31">
        <f ca="1"/>
        <v>-24528.042962595537</v>
      </c>
      <c r="AR56" s="31">
        <v>13.68</v>
      </c>
      <c r="AT56" s="31">
        <f ca="1"/>
        <v>-22452.821331945066</v>
      </c>
      <c r="AU56" s="31">
        <v>15.84</v>
      </c>
    </row>
    <row r="57" spans="43:47" ht="20.25" customHeight="1">
      <c r="AQ57" s="31">
        <f ca="1"/>
        <v>-24292.847112604046</v>
      </c>
      <c r="AR57" s="31">
        <v>14.16</v>
      </c>
      <c r="AT57" s="31">
        <f ca="1"/>
        <v>-22027.149476263257</v>
      </c>
      <c r="AU57" s="31">
        <v>16.079999999999998</v>
      </c>
    </row>
    <row r="58" spans="43:47" ht="20.25" customHeight="1">
      <c r="AQ58" s="31">
        <f ca="1"/>
        <v>-23944.988052830748</v>
      </c>
      <c r="AR58" s="31">
        <v>14.64</v>
      </c>
      <c r="AT58" s="31">
        <f ca="1"/>
        <v>-21552.877454555324</v>
      </c>
      <c r="AU58" s="31">
        <v>16.32</v>
      </c>
    </row>
    <row r="59" spans="43:47" ht="20.25" customHeight="1">
      <c r="AQ59" s="31">
        <f ca="1"/>
        <v>-23464.945454994588</v>
      </c>
      <c r="AR59" s="31">
        <v>15.119999999999997</v>
      </c>
      <c r="AT59" s="31">
        <f ca="1"/>
        <v>-21027.27658305996</v>
      </c>
      <c r="AU59" s="31">
        <v>16.559999999999999</v>
      </c>
    </row>
    <row r="60" spans="43:47" ht="20.25" customHeight="1">
      <c r="AQ60" s="31">
        <f ca="1"/>
        <v>-22832.583219665226</v>
      </c>
      <c r="AR60" s="31">
        <v>15.599999999999998</v>
      </c>
      <c r="AT60" s="31">
        <f ca="1"/>
        <v>-20447.579692318999</v>
      </c>
      <c r="AU60" s="31">
        <v>16.799999999999997</v>
      </c>
    </row>
    <row r="61" spans="43:47" ht="20.25" customHeight="1">
      <c r="AQ61" s="31">
        <f ca="1"/>
        <v>-22027.149476263257</v>
      </c>
      <c r="AR61" s="31">
        <v>16.079999999999998</v>
      </c>
      <c r="AT61" s="31">
        <f ca="1"/>
        <v>-19810.981127177503</v>
      </c>
      <c r="AU61" s="31">
        <v>17.04</v>
      </c>
    </row>
    <row r="62" spans="43:47" ht="20.25" customHeight="1">
      <c r="AQ62" s="31">
        <f ca="1"/>
        <v>-21027.27658305996</v>
      </c>
      <c r="AR62" s="31">
        <v>16.559999999999999</v>
      </c>
      <c r="AT62" s="31">
        <f ca="1"/>
        <v>-19114.636746783617</v>
      </c>
      <c r="AU62" s="31">
        <v>17.28</v>
      </c>
    </row>
    <row r="63" spans="43:47" ht="20.25" customHeight="1">
      <c r="AQ63" s="31">
        <f ca="1"/>
        <v>-19810.981127177503</v>
      </c>
      <c r="AR63" s="31">
        <v>17.04</v>
      </c>
      <c r="AT63" s="31">
        <f ca="1"/>
        <v>-18355.663924588785</v>
      </c>
      <c r="AU63" s="31">
        <v>17.52</v>
      </c>
    </row>
    <row r="64" spans="43:47" ht="20.25" customHeight="1">
      <c r="AQ64" s="31">
        <f ca="1"/>
        <v>-18355.663924588785</v>
      </c>
      <c r="AR64" s="31">
        <v>17.52</v>
      </c>
      <c r="AT64" s="31">
        <f ca="1"/>
        <v>-17531.141548347579</v>
      </c>
      <c r="AU64" s="31">
        <v>17.759999999999998</v>
      </c>
    </row>
    <row r="65" spans="43:47" ht="20.25" customHeight="1">
      <c r="AQ65" s="31">
        <f ca="1"/>
        <v>-16638.110020117638</v>
      </c>
      <c r="AR65" s="31">
        <v>18</v>
      </c>
      <c r="AT65" s="31">
        <f ca="1"/>
        <v>-16638.110020117638</v>
      </c>
      <c r="AU65" s="31">
        <v>18</v>
      </c>
    </row>
    <row r="66" spans="43:47" ht="20.25" customHeight="1">
      <c r="AQ66" s="31">
        <f ca="1"/>
        <v>-14634.488687438563</v>
      </c>
      <c r="AR66" s="31">
        <v>18.48</v>
      </c>
      <c r="AT66" s="31">
        <f ca="1"/>
        <v>-15673.571256259944</v>
      </c>
      <c r="AU66" s="31">
        <v>18.240000000000002</v>
      </c>
    </row>
    <row r="67" spans="43:47" ht="20.25" customHeight="1">
      <c r="AQ67" s="31">
        <f ca="1"/>
        <v>-12320.353429076997</v>
      </c>
      <c r="AR67" s="31">
        <v>18.96</v>
      </c>
      <c r="AT67" s="31">
        <f ca="1"/>
        <v>-14634.488687438563</v>
      </c>
      <c r="AU67" s="31">
        <v>18.48</v>
      </c>
    </row>
    <row r="68" spans="43:47" ht="20.25" customHeight="1">
      <c r="AQ68" s="31">
        <f ca="1"/>
        <v>-9670.6419764091042</v>
      </c>
      <c r="AR68" s="31">
        <v>19.439999999999998</v>
      </c>
      <c r="AT68" s="31">
        <f ca="1"/>
        <v>-13517.787258620774</v>
      </c>
      <c r="AU68" s="31">
        <v>18.72</v>
      </c>
    </row>
    <row r="69" spans="43:47" ht="20.25" customHeight="1">
      <c r="AQ69" s="31">
        <f ca="1"/>
        <v>-6659.6762896618675</v>
      </c>
      <c r="AR69" s="31">
        <v>19.919999999999998</v>
      </c>
      <c r="AT69" s="31">
        <f ca="1"/>
        <v>-12320.353429076997</v>
      </c>
      <c r="AU69" s="31">
        <v>18.96</v>
      </c>
    </row>
    <row r="70" spans="43:47" ht="20.25" customHeight="1">
      <c r="AQ70" s="31">
        <f ca="1"/>
        <v>-3261.162557913085</v>
      </c>
      <c r="AR70" s="31">
        <v>20.399999999999999</v>
      </c>
      <c r="AT70" s="31">
        <f ca="1"/>
        <v>-11039.035172380864</v>
      </c>
      <c r="AU70" s="31">
        <v>19.2</v>
      </c>
    </row>
    <row r="71" spans="43:47" ht="20.25" customHeight="1">
      <c r="AQ71" s="31">
        <f ca="1"/>
        <v>551.80880090858409</v>
      </c>
      <c r="AR71" s="31">
        <v>20.879999999999995</v>
      </c>
      <c r="AT71" s="31">
        <f ca="1"/>
        <v>-9670.6419764091042</v>
      </c>
      <c r="AU71" s="31">
        <v>19.439999999999998</v>
      </c>
    </row>
    <row r="72" spans="43:47" ht="20.25" customHeight="1">
      <c r="AQ72" s="31">
        <f ca="1"/>
        <v>4806.7631400238097</v>
      </c>
      <c r="AR72" s="31">
        <v>21.36</v>
      </c>
      <c r="AT72" s="31">
        <f ca="1"/>
        <v>-8211.9448433417201</v>
      </c>
      <c r="AU72" s="31">
        <v>19.68</v>
      </c>
    </row>
    <row r="73" spans="43:47" ht="20.25" customHeight="1">
      <c r="AQ73" s="31">
        <f ca="1"/>
        <v>9531.8415838022993</v>
      </c>
      <c r="AR73" s="31">
        <v>21.840000000000003</v>
      </c>
      <c r="AT73" s="31">
        <f ca="1"/>
        <v>-6659.6762896618384</v>
      </c>
      <c r="AU73" s="31">
        <v>19.920000000000002</v>
      </c>
    </row>
    <row r="74" spans="43:47" ht="20.25" customHeight="1">
      <c r="AQ74" s="31">
        <f ca="1"/>
        <v>14755.801027762885</v>
      </c>
      <c r="AR74" s="31">
        <v>22.32</v>
      </c>
      <c r="AT74" s="31">
        <f ca="1"/>
        <v>-5010.5303461558142</v>
      </c>
      <c r="AU74" s="31">
        <v>20.16</v>
      </c>
    </row>
    <row r="75" spans="43:47" ht="20.25" customHeight="1">
      <c r="AQ75" s="31">
        <f ca="1"/>
        <v>20508.014138573875</v>
      </c>
      <c r="AR75" s="31">
        <v>22.799999999999997</v>
      </c>
      <c r="AT75" s="31">
        <f ca="1"/>
        <v>-3261.162557913085</v>
      </c>
      <c r="AU75" s="31">
        <v>20.399999999999999</v>
      </c>
    </row>
    <row r="76" spans="43:47" ht="20.25" customHeight="1">
      <c r="AQ76" s="31">
        <f ca="1"/>
        <v>26818.469354052671</v>
      </c>
      <c r="AR76" s="31">
        <v>23.28</v>
      </c>
      <c r="AT76" s="31">
        <f ca="1"/>
        <v>-1408.1899843263163</v>
      </c>
      <c r="AU76" s="31">
        <v>20.64</v>
      </c>
    </row>
    <row r="77" spans="43:47" ht="20.25" customHeight="1">
      <c r="AQ77" s="31">
        <f ca="1"/>
        <v>33717.770883165584</v>
      </c>
      <c r="AR77" s="31">
        <v>23.759999999999998</v>
      </c>
      <c r="AT77" s="31">
        <f ca="1"/>
        <v>551.80880090859864</v>
      </c>
      <c r="AU77" s="31">
        <v>20.88</v>
      </c>
    </row>
    <row r="78" spans="43:47" ht="20.25" customHeight="1">
      <c r="AQ78" s="31">
        <f ca="1"/>
        <v>41237.138706028454</v>
      </c>
      <c r="AR78" s="31">
        <v>24.239999999999995</v>
      </c>
      <c r="AT78" s="31">
        <f ca="1"/>
        <v>2622.2937097926842</v>
      </c>
      <c r="AU78" s="31">
        <v>21.119999999999997</v>
      </c>
    </row>
    <row r="79" spans="43:47" ht="20.25" customHeight="1">
      <c r="AQ79" s="31">
        <f ca="1"/>
        <v>49408.408573906279</v>
      </c>
      <c r="AR79" s="31">
        <v>24.72</v>
      </c>
      <c r="AT79" s="31">
        <f ca="1"/>
        <v>4806.7631400238097</v>
      </c>
      <c r="AU79" s="31">
        <v>21.36</v>
      </c>
    </row>
    <row r="80" spans="43:47" ht="20.25" customHeight="1">
      <c r="AQ80" s="31">
        <f ca="1"/>
        <v>58264.032009213108</v>
      </c>
      <c r="AR80" s="31">
        <v>25.200000000000003</v>
      </c>
      <c r="AT80" s="31">
        <f ca="1"/>
        <v>7108.7539749965144</v>
      </c>
      <c r="AU80" s="31">
        <v>21.6</v>
      </c>
    </row>
    <row r="81" spans="43:47" ht="20.25" customHeight="1">
      <c r="AQ81" s="31">
        <f ca="1"/>
        <v>67837.076305512048</v>
      </c>
      <c r="AR81" s="31">
        <v>25.68</v>
      </c>
      <c r="AT81" s="31">
        <f ca="1"/>
        <v>9531.8415838022265</v>
      </c>
      <c r="AU81" s="31">
        <v>21.84</v>
      </c>
    </row>
    <row r="82" spans="43:47" ht="20.25" customHeight="1">
      <c r="AQ82" s="31">
        <f ca="1"/>
        <v>78161.224527515762</v>
      </c>
      <c r="AR82" s="31">
        <v>26.159999999999997</v>
      </c>
      <c r="AT82" s="31">
        <f ca="1"/>
        <v>12079.639821229321</v>
      </c>
      <c r="AU82" s="31">
        <v>22.08</v>
      </c>
    </row>
    <row r="83" spans="43:47" ht="20.25" customHeight="1">
      <c r="AQ83" s="31">
        <f ca="1"/>
        <v>89270.775511086016</v>
      </c>
      <c r="AR83" s="31">
        <v>26.64</v>
      </c>
      <c r="AT83" s="31">
        <f ca="1"/>
        <v>14755.801027762885</v>
      </c>
      <c r="AU83" s="31">
        <v>22.32</v>
      </c>
    </row>
    <row r="84" spans="43:47" ht="20.25" customHeight="1">
      <c r="AQ84" s="31">
        <f ca="1"/>
        <v>101200.64386323333</v>
      </c>
      <c r="AR84" s="31">
        <v>27.119999999999997</v>
      </c>
      <c r="AT84" s="31">
        <f ca="1"/>
        <v>17564.01602958484</v>
      </c>
      <c r="AU84" s="31">
        <v>22.56</v>
      </c>
    </row>
    <row r="85" spans="43:47" ht="20.25" customHeight="1">
      <c r="AQ85" s="31">
        <f ca="1"/>
        <v>113986.35996211821</v>
      </c>
      <c r="AR85" s="31">
        <v>27.6</v>
      </c>
      <c r="AT85" s="31">
        <f ca="1"/>
        <v>20508.014138573933</v>
      </c>
      <c r="AU85" s="31">
        <v>22.8</v>
      </c>
    </row>
    <row r="86" spans="43:47" ht="20.25" customHeight="1">
      <c r="AQ86" s="31">
        <f ca="1"/>
        <v>127664.06995704951</v>
      </c>
      <c r="AR86" s="31">
        <v>28.08</v>
      </c>
      <c r="AT86" s="31">
        <f ca="1"/>
        <v>23591.563152305702</v>
      </c>
      <c r="AU86" s="31">
        <v>23.04</v>
      </c>
    </row>
    <row r="87" spans="43:47" ht="20.25" customHeight="1">
      <c r="AQ87" s="31">
        <f ca="1"/>
        <v>142270.53576848601</v>
      </c>
      <c r="AR87" s="31">
        <v>28.560000000000002</v>
      </c>
      <c r="AT87" s="31">
        <f ca="1"/>
        <v>26818.469354052671</v>
      </c>
      <c r="AU87" s="31">
        <v>23.28</v>
      </c>
    </row>
    <row r="88" spans="43:47" ht="20.25" customHeight="1">
      <c r="AQ88" s="31">
        <f ca="1"/>
        <v>157843.13508803505</v>
      </c>
      <c r="AR88" s="31">
        <v>29.04</v>
      </c>
      <c r="AT88" s="31">
        <f ca="1"/>
        <v>30192.577512783922</v>
      </c>
      <c r="AU88" s="31">
        <v>23.52</v>
      </c>
    </row>
    <row r="89" spans="43:47" ht="20.25" customHeight="1">
      <c r="AQ89" s="31">
        <f ca="1"/>
        <v>174419.86137845335</v>
      </c>
      <c r="AR89" s="31">
        <v>29.519999999999996</v>
      </c>
      <c r="AT89" s="31">
        <f ca="1"/>
        <v>33717.770883165584</v>
      </c>
      <c r="AU89" s="31">
        <v>23.759999999999998</v>
      </c>
    </row>
    <row r="90" spans="43:47" ht="20.25" customHeight="1">
      <c r="AQ90" s="31">
        <f ca="1"/>
        <v>192039.32387364743</v>
      </c>
      <c r="AR90" s="31">
        <v>30</v>
      </c>
      <c r="AT90" s="31">
        <f ca="1"/>
        <v>37397.971205560571</v>
      </c>
      <c r="AU90" s="31">
        <v>24</v>
      </c>
    </row>
    <row r="91" spans="43:47" ht="20.25" customHeight="1">
      <c r="AQ91" s="31">
        <f ca="1"/>
        <v>210740.74757867196</v>
      </c>
      <c r="AR91" s="31">
        <v>30.479999999999997</v>
      </c>
      <c r="AT91" s="31">
        <f ca="1"/>
        <v>41237.138706028483</v>
      </c>
      <c r="AU91" s="31">
        <v>24.24</v>
      </c>
    </row>
    <row r="92" spans="43:47" ht="20.25" customHeight="1">
      <c r="AQ92" s="31">
        <f ca="1"/>
        <v>230563.9732697318</v>
      </c>
      <c r="AR92" s="31">
        <v>30.96</v>
      </c>
      <c r="AT92" s="31">
        <f ca="1"/>
        <v>45239.272096326014</v>
      </c>
      <c r="AU92" s="31">
        <v>24.48</v>
      </c>
    </row>
    <row r="93" spans="43:47" ht="20.25" customHeight="1">
      <c r="AQ93" s="31">
        <f ca="1"/>
        <v>251549.45749418001</v>
      </c>
      <c r="AR93" s="31">
        <v>31.439999999999998</v>
      </c>
      <c r="AT93" s="31">
        <f ca="1"/>
        <v>49408.408573906279</v>
      </c>
      <c r="AU93" s="31">
        <v>24.72</v>
      </c>
    </row>
    <row r="94" spans="43:47" ht="20.25" customHeight="1">
      <c r="AQ94" s="31">
        <f ca="1"/>
        <v>273738.27257052012</v>
      </c>
      <c r="AR94" s="31">
        <v>31.92</v>
      </c>
      <c r="AT94" s="31">
        <f ca="1"/>
        <v>53748.62382191966</v>
      </c>
      <c r="AU94" s="31">
        <v>24.96</v>
      </c>
    </row>
    <row r="95" spans="43:47" ht="20.25" customHeight="1">
      <c r="AQ95" s="31">
        <f ca="1"/>
        <v>297172.10658840305</v>
      </c>
      <c r="AR95" s="31">
        <v>32.4</v>
      </c>
      <c r="AT95" s="31">
        <f ca="1"/>
        <v>58264.032009213021</v>
      </c>
      <c r="AU95" s="31">
        <v>25.2</v>
      </c>
    </row>
    <row r="96" spans="43:47" ht="20.25" customHeight="1">
      <c r="AQ96" s="31">
        <f ca="1"/>
        <v>321893.26340863045</v>
      </c>
      <c r="AR96" s="31">
        <v>32.879999999999995</v>
      </c>
      <c r="AT96" s="31">
        <f ca="1"/>
        <v>62958.785790330228</v>
      </c>
      <c r="AU96" s="31">
        <v>25.439999999999998</v>
      </c>
    </row>
    <row r="97" spans="43:47" ht="20.25" customHeight="1">
      <c r="AQ97" s="31">
        <f ca="1"/>
        <v>347944.6626631532</v>
      </c>
      <c r="AR97" s="31">
        <v>33.36</v>
      </c>
      <c r="AT97" s="31">
        <f ca="1"/>
        <v>67837.076305512048</v>
      </c>
      <c r="AU97" s="31">
        <v>25.68</v>
      </c>
    </row>
    <row r="98" spans="43:47" ht="20.25" customHeight="1">
      <c r="AQ98" s="31">
        <f ca="1"/>
        <v>375369.83975507028</v>
      </c>
      <c r="AR98" s="31">
        <v>33.839999999999996</v>
      </c>
      <c r="AT98" s="31">
        <f ca="1"/>
        <v>72903.133180695761</v>
      </c>
      <c r="AU98" s="31">
        <v>25.919999999999998</v>
      </c>
    </row>
    <row r="99" spans="43:47" ht="20.25" customHeight="1">
      <c r="AQ99" s="31">
        <f ca="1"/>
        <v>404212.94585863053</v>
      </c>
      <c r="AR99" s="31">
        <v>34.32</v>
      </c>
      <c r="AT99" s="31">
        <f ca="1"/>
        <v>78161.224527515791</v>
      </c>
      <c r="AU99" s="31">
        <v>26.16</v>
      </c>
    </row>
    <row r="100" spans="43:47" ht="20.25" customHeight="1">
      <c r="AQ100" s="31">
        <f ca="1"/>
        <v>434518.74791923136</v>
      </c>
      <c r="AR100" s="31">
        <v>34.799999999999997</v>
      </c>
      <c r="AT100" s="31">
        <f ca="1"/>
        <v>83615.656943303213</v>
      </c>
      <c r="AU100" s="31">
        <v>26.4</v>
      </c>
    </row>
    <row r="101" spans="43:47" ht="20.25" customHeight="1">
      <c r="AQ101" s="31">
        <f ca="1"/>
        <v>466332.62865342089</v>
      </c>
      <c r="AR101" s="31">
        <v>35.28</v>
      </c>
      <c r="AT101" s="31">
        <f ca="1"/>
        <v>89270.775511086016</v>
      </c>
      <c r="AU101" s="31">
        <v>26.64</v>
      </c>
    </row>
    <row r="102" spans="43:47" ht="20.25" customHeight="1">
      <c r="AQ102" s="31">
        <f ca="1"/>
        <v>499700.58654889459</v>
      </c>
      <c r="AR102" s="31">
        <v>35.76</v>
      </c>
      <c r="AT102" s="31">
        <f ca="1"/>
        <v>95130.963799588819</v>
      </c>
      <c r="AU102" s="31">
        <v>26.88</v>
      </c>
    </row>
    <row r="103" spans="43:47" ht="20.25" customHeight="1">
      <c r="AQ103" s="31">
        <f ca="1"/>
        <v>534669.23586449819</v>
      </c>
      <c r="AR103" s="31">
        <v>36.239999999999995</v>
      </c>
      <c r="AT103" s="31">
        <f ca="1"/>
        <v>101200.64386323333</v>
      </c>
      <c r="AU103" s="31">
        <v>27.119999999999997</v>
      </c>
    </row>
    <row r="104" spans="43:47" ht="20.25" customHeight="1">
      <c r="AQ104" s="31">
        <f ca="1"/>
        <v>571285.80663022667</v>
      </c>
      <c r="AR104" s="31">
        <v>36.72</v>
      </c>
      <c r="AT104" s="31">
        <f ca="1"/>
        <v>107484.27624213818</v>
      </c>
      <c r="AU104" s="31">
        <v>27.36</v>
      </c>
    </row>
    <row r="105" spans="43:47" ht="20.25" customHeight="1">
      <c r="AQ105" s="31">
        <f ca="1"/>
        <v>609598.14464722341</v>
      </c>
      <c r="AR105" s="31">
        <v>37.199999999999996</v>
      </c>
      <c r="AT105" s="31">
        <f ca="1"/>
        <v>113986.35996211812</v>
      </c>
      <c r="AU105" s="31">
        <v>27.599999999999998</v>
      </c>
    </row>
    <row r="106" spans="43:47" ht="20.25" customHeight="1">
      <c r="AQ106" s="31">
        <f ca="1"/>
        <v>649654.71148778219</v>
      </c>
      <c r="AR106" s="31">
        <v>37.68</v>
      </c>
      <c r="AT106" s="31">
        <f ca="1"/>
        <v>120711.43253468574</v>
      </c>
      <c r="AU106" s="31">
        <v>27.84</v>
      </c>
    </row>
    <row r="107" spans="43:47" ht="20.25" customHeight="1">
      <c r="AQ107" s="31">
        <f ca="1"/>
        <v>691504.58449534408</v>
      </c>
      <c r="AR107" s="31">
        <v>38.159999999999997</v>
      </c>
      <c r="AT107" s="31">
        <f ca="1"/>
        <v>127664.06995704951</v>
      </c>
      <c r="AU107" s="31">
        <v>28.08</v>
      </c>
    </row>
    <row r="108" spans="43:47" ht="20.25" customHeight="1">
      <c r="AQ108" s="31">
        <f ca="1"/>
        <v>735197.45678450179</v>
      </c>
      <c r="AR108" s="31">
        <v>38.64</v>
      </c>
      <c r="AT108" s="31">
        <f ca="1"/>
        <v>134848.88671211552</v>
      </c>
      <c r="AU108" s="31">
        <v>28.32</v>
      </c>
    </row>
    <row r="109" spans="43:47" ht="20.25" customHeight="1">
      <c r="AQ109" s="31">
        <f ca="1"/>
        <v>780783.63724099484</v>
      </c>
      <c r="AR109" s="31">
        <v>39.119999999999997</v>
      </c>
      <c r="AT109" s="31">
        <f ca="1"/>
        <v>142270.53576848598</v>
      </c>
      <c r="AU109" s="31">
        <v>28.56</v>
      </c>
    </row>
    <row r="110" spans="43:47" ht="20.25" customHeight="1">
      <c r="AQ110" s="31">
        <f ca="1"/>
        <v>828314.0505217145</v>
      </c>
      <c r="AR110" s="31">
        <v>39.6</v>
      </c>
      <c r="AT110" s="31">
        <f ca="1"/>
        <v>149933.7085804604</v>
      </c>
      <c r="AU110" s="31">
        <v>28.8</v>
      </c>
    </row>
    <row r="111" spans="43:47" ht="20.25" customHeight="1">
      <c r="AQ111" s="31">
        <f ca="1"/>
        <v>877840.2370546977</v>
      </c>
      <c r="AR111" s="31">
        <v>40.08</v>
      </c>
      <c r="AT111" s="31">
        <f ca="1"/>
        <v>157843.13508803505</v>
      </c>
      <c r="AU111" s="31">
        <v>29.04</v>
      </c>
    </row>
    <row r="112" spans="43:47" ht="20.25" customHeight="1">
      <c r="AQ112" s="31">
        <f ca="1"/>
        <v>929414.35303913453</v>
      </c>
      <c r="AR112" s="31">
        <v>40.559999999999995</v>
      </c>
      <c r="AT112" s="31">
        <f ca="1"/>
        <v>166003.58371690271</v>
      </c>
      <c r="AU112" s="31">
        <v>29.279999999999998</v>
      </c>
    </row>
    <row r="113" spans="43:47" ht="20.25" customHeight="1">
      <c r="AQ113" s="31">
        <f ca="1"/>
        <v>983089.17044536176</v>
      </c>
      <c r="AR113" s="31">
        <v>41.04</v>
      </c>
      <c r="AT113" s="31">
        <f ca="1"/>
        <v>174419.8613784535</v>
      </c>
      <c r="AU113" s="31">
        <v>29.52</v>
      </c>
    </row>
    <row r="114" spans="43:47" ht="20.25" customHeight="1">
      <c r="AQ114" s="31">
        <f ca="1"/>
        <v>1038918.0770148657</v>
      </c>
      <c r="AR114" s="31">
        <v>41.519999999999996</v>
      </c>
      <c r="AT114" s="31">
        <f ca="1"/>
        <v>183096.81346977386</v>
      </c>
      <c r="AU114" s="31">
        <v>29.759999999999998</v>
      </c>
    </row>
    <row r="115" spans="43:47" ht="20.25" customHeight="1">
      <c r="AQ115" s="31">
        <f ca="1"/>
        <v>1096955.0762602827</v>
      </c>
      <c r="AR115" s="31">
        <v>42</v>
      </c>
      <c r="AT115" s="31">
        <f ca="1"/>
        <v>192039.32387364743</v>
      </c>
      <c r="AU115" s="31">
        <v>30</v>
      </c>
    </row>
  </sheetData>
  <sheetProtection algorithmName="SHA-512" hashValue="N6mUboCVNH7X2xk9otk65sZAdxRh3aI+fVaSLzOcLk/zQRaAhxyYUtAO47fKAOsMFybb2UJJtgwPPUHgO0D/4A==" saltValue="eqBZns3F6s1w6LRmkBj/hQ==" spinCount="100000" sheet="1" objects="1" scenarios="1"/>
  <phoneticPr fontId="2"/>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C1602-BB66-4A63-80B3-C312547CBCB4}">
  <sheetPr codeName="Sheet26">
    <tabColor theme="0" tint="-0.499984740745262"/>
  </sheetPr>
  <dimension ref="A1:AZ115"/>
  <sheetViews>
    <sheetView showGridLines="0" workbookViewId="0"/>
  </sheetViews>
  <sheetFormatPr defaultColWidth="3.375" defaultRowHeight="20.25" customHeight="1"/>
  <cols>
    <col min="1" max="2" width="3.375" style="31"/>
    <col min="3" max="3" width="27.75" style="31" bestFit="1" customWidth="1"/>
    <col min="4" max="4" width="10" style="31" bestFit="1" customWidth="1"/>
    <col min="5" max="5" width="3.75" style="31" bestFit="1" customWidth="1"/>
    <col min="6" max="9" width="3.375" style="31"/>
    <col min="10" max="10" width="38.75" style="31" bestFit="1" customWidth="1"/>
    <col min="11" max="11" width="9.375" style="31" customWidth="1"/>
    <col min="12" max="12" width="5.375" style="31" bestFit="1" customWidth="1"/>
    <col min="13" max="14" width="3.375" style="31"/>
    <col min="15" max="15" width="3.75" style="31" bestFit="1" customWidth="1"/>
    <col min="16" max="16" width="3.75" style="31" customWidth="1"/>
    <col min="17" max="17" width="27.625" style="31" bestFit="1" customWidth="1"/>
    <col min="18" max="18" width="15.875" style="31" customWidth="1"/>
    <col min="19" max="22" width="3.75" style="31" customWidth="1"/>
    <col min="23" max="25" width="3.375" style="31"/>
    <col min="26" max="26" width="21.375" style="31" bestFit="1" customWidth="1"/>
    <col min="27" max="27" width="21" style="31" bestFit="1" customWidth="1"/>
    <col min="28" max="28" width="3.75" style="31" bestFit="1" customWidth="1"/>
    <col min="29" max="42" width="3.375" style="31"/>
    <col min="43" max="44" width="8.125" style="31" customWidth="1"/>
    <col min="45" max="45" width="3.375" style="31" customWidth="1"/>
    <col min="46" max="47" width="8.125" style="31" customWidth="1"/>
    <col min="48" max="49" width="3.375" style="31"/>
    <col min="50" max="50" width="13.125" style="31" bestFit="1" customWidth="1"/>
    <col min="51" max="51" width="13.25" style="31" customWidth="1"/>
    <col min="52" max="52" width="4.25" style="31" bestFit="1" customWidth="1"/>
    <col min="53" max="16384" width="3.375" style="31"/>
  </cols>
  <sheetData>
    <row r="1" spans="1:52" s="40" customFormat="1" ht="20.25" customHeight="1">
      <c r="A1" s="40" t="s">
        <v>509</v>
      </c>
    </row>
    <row r="2" spans="1:52" s="40" customFormat="1" ht="30">
      <c r="B2" s="41" t="str">
        <f ca="1">_xlfn.LET(
    _xlpm._header, "回転数を数値計算で求める",
    _xlpm._numbering, IFERROR(K8,K9),
    _xlpm._header &amp; "（要求条件番号：" &amp; _xlpm._numbering &amp; "）"
)</f>
        <v>回転数を数値計算で求める（要求条件番号：5）</v>
      </c>
    </row>
    <row r="3" spans="1:52" s="39" customFormat="1" ht="7.5" customHeight="1"/>
    <row r="5" spans="1:52" ht="20.25" customHeight="1">
      <c r="B5" s="31" t="s">
        <v>102</v>
      </c>
      <c r="G5" s="31" t="s">
        <v>101</v>
      </c>
      <c r="N5" s="31" t="s">
        <v>303</v>
      </c>
    </row>
    <row r="6" spans="1:52" ht="20.25" customHeight="1">
      <c r="C6" s="31" t="s">
        <v>302</v>
      </c>
      <c r="D6" s="31">
        <f ca="1">AY7</f>
        <v>20.428306460380554</v>
      </c>
      <c r="E6" s="31" t="s">
        <v>104</v>
      </c>
      <c r="H6" s="31" t="s">
        <v>99</v>
      </c>
      <c r="O6" s="31" t="s">
        <v>301</v>
      </c>
      <c r="V6" s="31" t="s">
        <v>300</v>
      </c>
      <c r="AW6" s="31" t="s">
        <v>299</v>
      </c>
    </row>
    <row r="7" spans="1:52" ht="20.25" customHeight="1">
      <c r="I7" s="31" t="s">
        <v>343</v>
      </c>
      <c r="AX7" s="33" t="s">
        <v>266</v>
      </c>
      <c r="AY7" s="31">
        <f ca="1">_xlfn.LET(
    _xlpm._N_bisection, AA36,
    _xlpm._N_initial, AA32,
    _xlpm._initial_values_are_invalid, AA30,
    _xlpm._m_c_is_out_of_range, NOT(R24),
    _xlpm._N_initial_is_one_of_the_roots, AA31,
    _xlpm._converged, AA35,
    IF(
        OR(
            _xlpm._initial_values_are_invalid,
            _xlpm._m_c_is_out_of_range
        ),
        NA(),
        IF(
            _xlpm._N_initial_is_one_of_the_roots,
            _xlpm._N_initial,
            IF(_xlpm._converged, _xlpm._N_bisection, NA())
        )
    )
)</f>
        <v>20.428306460380554</v>
      </c>
      <c r="AZ7" s="31" t="s">
        <v>104</v>
      </c>
    </row>
    <row r="8" spans="1:52" ht="20.25" customHeight="1">
      <c r="J8" s="33" t="s">
        <v>344</v>
      </c>
      <c r="K8" s="53" cm="1">
        <f t="array" aca="1" ref="K8" ca="1">_xlfn.LET(
    _xlpm._name_sheet, _xlfn.TEXTAFTER(
        _xlfn.TAKE(_xlfn.TEXTSPLIT( CELL("filename",A1), , "\"), -1),
        "]"
    ),
   VALUE(_xlfn.TEXTAFTER(_xlpm._name_sheet, "_"))
)</f>
        <v>5</v>
      </c>
    </row>
    <row r="9" spans="1:52" ht="20.25" customHeight="1">
      <c r="J9" s="33" t="s">
        <v>345</v>
      </c>
      <c r="K9" s="32">
        <v>5</v>
      </c>
      <c r="Q9" s="33" t="s">
        <v>295</v>
      </c>
      <c r="R9" s="31">
        <f ca="1">_xlfn.LET(
    _xlpm._m_c, K10,
    _xlpm._rho, K13,
    _xlpm._N_r, K21,
    _xlpm._D, K20,
    _xlpm._m_c * _xlpm._rho ^ -1 * _xlpm._N_r ^ -1 * _xlpm._D ^ -3
)</f>
        <v>2.6234567901234569</v>
      </c>
      <c r="S9" s="31" t="s">
        <v>84</v>
      </c>
    </row>
    <row r="10" spans="1:52" ht="20.25" customHeight="1">
      <c r="J10" s="33" t="s">
        <v>298</v>
      </c>
      <c r="K10" s="32" cm="1">
        <f t="array" aca="1" ref="K10" ca="1">_xlfn.LET(
    _xlpm._m_c,_xlfn.ANCHORARRAY( prm!A5),
    _xlpm._numbering, IFERROR(K8,K9),
    INDEX(_xlpm._m_c, _xlpm._numbering)
)</f>
        <v>2125</v>
      </c>
      <c r="L10" s="31" t="s">
        <v>92</v>
      </c>
      <c r="AR10" s="48" t="s">
        <v>210</v>
      </c>
    </row>
    <row r="11" spans="1:52" ht="20.25" customHeight="1">
      <c r="J11" s="33" t="s">
        <v>297</v>
      </c>
      <c r="K11" s="32" cm="1">
        <f t="array" aca="1" ref="K11" ca="1">_xlfn.LET(
    _xlpm._dP_c,_xlfn.ANCHORARRAY( prm!B5),
    _xlpm._numbering, IFERROR(K8,K9),
    INDEX(_xlpm._dP_c, _xlpm._numbering)
)</f>
        <v>134.76</v>
      </c>
      <c r="L11" s="31" t="s">
        <v>296</v>
      </c>
      <c r="P11" s="31" t="s">
        <v>294</v>
      </c>
      <c r="AR11" s="32">
        <v>1</v>
      </c>
      <c r="AT11" s="31" t="s">
        <v>336</v>
      </c>
    </row>
    <row r="12" spans="1:52" ht="20.25" customHeight="1">
      <c r="I12" s="31" t="s">
        <v>342</v>
      </c>
      <c r="J12" s="33"/>
      <c r="K12" s="33"/>
      <c r="L12" s="33"/>
      <c r="AQ12" s="37" t="s">
        <v>202</v>
      </c>
      <c r="AR12" s="37" t="s">
        <v>201</v>
      </c>
      <c r="AT12" s="37" t="s">
        <v>202</v>
      </c>
      <c r="AU12" s="37" t="s">
        <v>201</v>
      </c>
    </row>
    <row r="13" spans="1:52" ht="20.25" customHeight="1">
      <c r="J13" s="33" t="s">
        <v>115</v>
      </c>
      <c r="K13" s="32">
        <f>10^3</f>
        <v>1000</v>
      </c>
      <c r="L13" s="31" t="s">
        <v>114</v>
      </c>
      <c r="AQ13" s="47" t="s">
        <v>335</v>
      </c>
      <c r="AR13" s="47" t="s">
        <v>334</v>
      </c>
      <c r="AT13" s="47" t="s">
        <v>335</v>
      </c>
      <c r="AU13" s="47" t="s">
        <v>334</v>
      </c>
    </row>
    <row r="14" spans="1:52" ht="20.25" customHeight="1">
      <c r="J14" s="33"/>
      <c r="AQ14" s="35" t="s">
        <v>84</v>
      </c>
      <c r="AR14" s="35" t="s">
        <v>84</v>
      </c>
      <c r="AT14" s="35" t="s">
        <v>84</v>
      </c>
      <c r="AU14" s="35" t="s">
        <v>84</v>
      </c>
    </row>
    <row r="15" spans="1:52" ht="20.25" customHeight="1">
      <c r="I15" s="31" t="s">
        <v>529</v>
      </c>
      <c r="X15" s="31" t="s">
        <v>293</v>
      </c>
      <c r="AQ15" s="31" cm="1">
        <f t="array" aca="1" ref="AQ15:AQ115" ca="1">_xlfn.LET(
    _xlpm._coefficient, TRANSPOSE(AA17:AA21),
    _xlpm._values_N,_xlfn.ANCHORARRAY( AR15),
    _xlfn.MAP(
        _xlpm._values_N,
        _xlfn.LAMBDA(_xlpm._N,
            SUM(
                _xlpm._coefficient *
                    _xlfn.HSTACK(_xlpm._N ^ {4,3,2,1}, 1)
            )
        )
    )
)</f>
        <v>-53595.105964704562</v>
      </c>
      <c r="AR15" s="31" cm="1">
        <f t="array" ref="AR15:AR115">_xlfn.LET(
    _xlpm._number_divisions, 100,
    _xlpm._rate_extrapolation, AR11,
    _xlpm._N0, AA24,
    _xlpm._N1, AA25,
    _xlpm._extrapolation, (_xlpm._N1 - _xlpm._N0) * _xlpm._rate_extrapolation,
    ((_xlpm._N1 - _xlpm._N0) + _xlpm._extrapolation) / _xlpm._number_divisions *
        (_xlfn.SEQUENCE(_xlpm._number_divisions + 1) - 1) + _xlpm._N0 -
        _xlpm._extrapolation / 2
)</f>
        <v>-6</v>
      </c>
      <c r="AT15" s="31" cm="1">
        <f t="array" aca="1" ref="AT15:AT115" ca="1">_xlfn.LET(
    _xlpm._coefficient, TRANSPOSE(AA17:AA21),
    _xlpm._values_N,_xlfn.ANCHORARRAY( AU15),
    _xlfn.MAP(
        _xlpm._values_N,
        _xlfn.LAMBDA(_xlpm._N,
            SUM(
                _xlpm._coefficient *
                    _xlfn.HSTACK(_xlpm._N ^ {4,3,2,1}, 1)
            )
        )
    )
)</f>
        <v>-14089.313319871055</v>
      </c>
      <c r="AU15" s="31" cm="1">
        <f t="array" ref="AU15:AU115">_xlfn.LET(
    _xlpm._number_divisions, 100,
    _xlpm._N0, AA24,
    _xlpm._N1, AA25,
    (_xlpm._N1 - _xlpm._N0) / _xlpm._number_divisions *
        (_xlfn.SEQUENCE(_xlpm._number_divisions + 1) - 1) + _xlpm._N0
)</f>
        <v>6</v>
      </c>
    </row>
    <row r="16" spans="1:52" ht="20.25" customHeight="1">
      <c r="J16" s="33" t="s">
        <v>530</v>
      </c>
      <c r="K16" s="32">
        <f>'C1'!E14</f>
        <v>1.832382785185185E-2</v>
      </c>
      <c r="L16" s="31" t="s">
        <v>5</v>
      </c>
      <c r="Y16" s="31" t="s">
        <v>292</v>
      </c>
      <c r="AQ16" s="31">
        <f ca="1"/>
        <v>-50307.781104989823</v>
      </c>
      <c r="AR16" s="31">
        <v>-5.52</v>
      </c>
      <c r="AT16" s="31">
        <f ca="1"/>
        <v>-14148.635795872651</v>
      </c>
      <c r="AU16" s="31">
        <v>6.24</v>
      </c>
    </row>
    <row r="17" spans="9:47" ht="20.25" customHeight="1">
      <c r="J17" s="33" t="s">
        <v>531</v>
      </c>
      <c r="K17" s="32">
        <f>'C1'!E15</f>
        <v>5.6803866333333337</v>
      </c>
      <c r="L17" s="31" t="s">
        <v>5</v>
      </c>
      <c r="Q17" s="33" t="s">
        <v>291</v>
      </c>
      <c r="R17" s="31">
        <f>_xlfn.LET(
    _xlpm._rho, K13,
    _xlpm._N_r, K21,
    _xlpm._D, K20,
    _xlpm._C_f_p, K33,
    _xlpm._C_f_min_sample, K16,
    _xlpm._local_maximum_exists, K32,
    IF(
        _xlpm._local_maximum_exists,
        _xlpm._C_f_p,
        _xlpm._C_f_min_sample
    )
)</f>
        <v>0.28465364146978933</v>
      </c>
      <c r="S17" s="31" t="s">
        <v>84</v>
      </c>
      <c r="Z17" s="33" t="s">
        <v>290</v>
      </c>
      <c r="AA17" s="31">
        <f>_xlfn.LET(
    _xlpm._alpha_5, K30,
    _xlpm._rho, K13,
    _xlpm._D, K20,
    _xlpm._rho * _xlpm._D ^ 2 * _xlpm._alpha_5 * 10 ^ -3
)</f>
        <v>0.48332932491123698</v>
      </c>
      <c r="AQ17" s="31">
        <f ca="1"/>
        <v>-47143.43939617867</v>
      </c>
      <c r="AR17" s="31">
        <v>-5.04</v>
      </c>
      <c r="AT17" s="31">
        <f ca="1"/>
        <v>-14230.539930592817</v>
      </c>
      <c r="AU17" s="31">
        <v>6.48</v>
      </c>
    </row>
    <row r="18" spans="9:47" ht="20.25" customHeight="1">
      <c r="Z18" s="33" t="s">
        <v>288</v>
      </c>
      <c r="AA18" s="31">
        <f ca="1">_xlfn.LET(
    _xlpm._alpha_4, K29,
    _xlpm._m_c, K10,
    _xlpm._D, K20,
    _xlpm._alpha_4 * _xlpm._m_c * _xlpm._D ^ -1 * 10 ^ -3
)</f>
        <v>1.3151365747962049</v>
      </c>
      <c r="AQ18" s="31">
        <f ca="1"/>
        <v>-44107.98165940772</v>
      </c>
      <c r="AR18" s="31">
        <v>-4.5600000000000005</v>
      </c>
      <c r="AT18" s="31">
        <f ca="1"/>
        <v>-14333.896770377643</v>
      </c>
      <c r="AU18" s="31">
        <v>6.72</v>
      </c>
    </row>
    <row r="19" spans="9:47" ht="20.25" customHeight="1">
      <c r="I19" s="31" t="s">
        <v>112</v>
      </c>
      <c r="J19" s="33"/>
      <c r="Z19" s="33" t="s">
        <v>286</v>
      </c>
      <c r="AA19" s="31">
        <f ca="1">_xlfn.LET(
    _xlpm._alpha_3, K28,
    _xlpm._m_c, K10,
    _xlpm._rho, K13,
    _xlpm._D, K20,
    _xlpm._dP_c, K11,
    _xlpm._alpha_3 * _xlpm._m_c ^ 2 * 10 ^ -3 * _xlpm._rho ^ -1 * _xlpm._D ^ -4 - _xlpm._dP_c
)</f>
        <v>-333.58664302243847</v>
      </c>
      <c r="AQ19" s="31">
        <f ca="1"/>
        <v>-41206.692944664392</v>
      </c>
      <c r="AR19" s="31">
        <v>-4.08</v>
      </c>
      <c r="AT19" s="31">
        <f ca="1"/>
        <v>-14457.538875876413</v>
      </c>
      <c r="AU19" s="31">
        <v>6.96</v>
      </c>
    </row>
    <row r="20" spans="9:47" ht="20.25" customHeight="1">
      <c r="J20" s="33" t="s">
        <v>111</v>
      </c>
      <c r="K20" s="32">
        <v>0.3</v>
      </c>
      <c r="L20" s="31" t="s">
        <v>110</v>
      </c>
      <c r="Z20" s="33" t="s">
        <v>285</v>
      </c>
      <c r="AA20" s="31">
        <f ca="1">_xlfn.LET(
    _xlpm._alpha_2, K27,
    _xlpm._m_c, K10,
    _xlpm._rho, K13,
    _xlpm._D, K20,
    _xlpm._alpha_2 * _xlpm._m_c ^ 3 * 10 ^ -3 * _xlpm._rho ^ -2 * _xlpm._D ^ -7
)</f>
        <v>3244.8044703767955</v>
      </c>
      <c r="AQ20" s="31">
        <f ca="1"/>
        <v>-38444.242530786927</v>
      </c>
      <c r="AR20" s="31">
        <v>-3.5999999999999996</v>
      </c>
      <c r="AT20" s="31">
        <f ca="1"/>
        <v>-14600.260322041555</v>
      </c>
      <c r="AU20" s="31">
        <v>7.2</v>
      </c>
    </row>
    <row r="21" spans="9:47" ht="20.25" customHeight="1">
      <c r="J21" s="33" t="s">
        <v>105</v>
      </c>
      <c r="K21" s="32">
        <f>prm!D5</f>
        <v>30</v>
      </c>
      <c r="L21" s="31" t="s">
        <v>104</v>
      </c>
      <c r="Q21" s="33" t="s">
        <v>283</v>
      </c>
      <c r="R21" s="31">
        <f>K17</f>
        <v>5.6803866333333337</v>
      </c>
      <c r="S21" s="31" t="s">
        <v>84</v>
      </c>
      <c r="Z21" s="33" t="s">
        <v>282</v>
      </c>
      <c r="AA21" s="31">
        <f ca="1">_xlfn.LET(
    _xlpm._alpha_1, K26,
    _xlpm._m_c, K10,
    _xlpm._rho, K13,
    _xlpm._D, K20,
    _xlpm._alpha_1 * _xlpm._m_c ^ 4 * 10 ^ -3 * _xlpm._rho ^ -3 * _xlpm._D ^ -10
)</f>
        <v>-22459.485298564985</v>
      </c>
      <c r="AQ21" s="31">
        <f ca="1"/>
        <v>-35824.683925464386</v>
      </c>
      <c r="AR21" s="31">
        <v>-3.120000000000001</v>
      </c>
      <c r="AT21" s="31">
        <f ca="1"/>
        <v>-14760.816698128692</v>
      </c>
      <c r="AU21" s="31">
        <v>7.4399999999999995</v>
      </c>
    </row>
    <row r="22" spans="9:47" ht="20.25" customHeight="1">
      <c r="J22" s="33" t="s">
        <v>289</v>
      </c>
      <c r="K22" s="32">
        <f>prm!E5</f>
        <v>0.2</v>
      </c>
      <c r="L22" s="31" t="s">
        <v>84</v>
      </c>
      <c r="Z22" s="33"/>
      <c r="AQ22" s="31">
        <f ca="1"/>
        <v>-33351.454865236607</v>
      </c>
      <c r="AR22" s="31">
        <v>-2.6400000000000006</v>
      </c>
      <c r="AT22" s="31">
        <f ca="1"/>
        <v>-14937.925107696628</v>
      </c>
      <c r="AU22" s="31">
        <v>7.68</v>
      </c>
    </row>
    <row r="23" spans="9:47" ht="20.25" customHeight="1">
      <c r="J23" s="33" t="s">
        <v>287</v>
      </c>
      <c r="K23" s="32">
        <f>prm!F5</f>
        <v>1</v>
      </c>
      <c r="L23" s="31" t="s">
        <v>84</v>
      </c>
      <c r="P23" s="31" t="s">
        <v>281</v>
      </c>
      <c r="Y23" s="31" t="s">
        <v>280</v>
      </c>
      <c r="AQ23" s="31">
        <f ca="1"/>
        <v>-31027.377315494254</v>
      </c>
      <c r="AR23" s="31">
        <v>-2.16</v>
      </c>
      <c r="AT23" s="31">
        <f ca="1"/>
        <v>-15130.264168607322</v>
      </c>
      <c r="AU23" s="31">
        <v>7.92</v>
      </c>
    </row>
    <row r="24" spans="9:47" ht="20.25" customHeight="1">
      <c r="Q24" s="33" t="s">
        <v>279</v>
      </c>
      <c r="R24" s="31" t="b">
        <f ca="1">_xlfn.LET(
    _xlpm._C_f_c, R9,
    _xlpm._C_f_min, R17,
    _xlpm._C_f_max, R21,
    AND(_xlpm._C_f_min &lt;= _xlpm._C_f_c, _xlpm._C_f_c &lt;= _xlpm._C_f_max)
)</f>
        <v>1</v>
      </c>
      <c r="Z24" s="33" t="s">
        <v>278</v>
      </c>
      <c r="AA24" s="31">
        <f>_xlfn.LET(
    _xlpm._N_r, K21,
    _xlpm._R_N_min, K22,
    _xlpm._N_r * _xlpm._R_N_min
)</f>
        <v>6</v>
      </c>
      <c r="AB24" s="31" t="s">
        <v>104</v>
      </c>
      <c r="AQ24" s="31">
        <f ca="1"/>
        <v>-28854.657470478811</v>
      </c>
      <c r="AR24" s="31">
        <v>-1.6799999999999997</v>
      </c>
      <c r="AT24" s="31">
        <f ca="1"/>
        <v>-15336.474013025923</v>
      </c>
      <c r="AU24" s="31">
        <v>8.16</v>
      </c>
    </row>
    <row r="25" spans="9:47" ht="20.25" customHeight="1">
      <c r="I25" s="31" t="s">
        <v>284</v>
      </c>
      <c r="Z25" s="33" t="s">
        <v>277</v>
      </c>
      <c r="AA25" s="31">
        <f>_xlfn.LET(
    _xlpm._N_r, K21,
    _xlpm._R_N_max, K23,
    _xlpm._N_r * _xlpm._R_N_max
)</f>
        <v>30</v>
      </c>
      <c r="AB25" s="31" t="s">
        <v>104</v>
      </c>
      <c r="AQ25" s="31">
        <f ca="1"/>
        <v>-26834.88575328256</v>
      </c>
      <c r="AR25" s="31">
        <v>-1.1999999999999993</v>
      </c>
      <c r="AT25" s="31">
        <f ca="1"/>
        <v>-15555.156287420756</v>
      </c>
      <c r="AU25" s="31">
        <v>8.4</v>
      </c>
    </row>
    <row r="26" spans="9:47" ht="20.25" customHeight="1">
      <c r="J26" s="33" t="s">
        <v>235</v>
      </c>
      <c r="K26" s="32">
        <f>'C1'!E7</f>
        <v>-6.5039412408014396E-3</v>
      </c>
      <c r="Z26" s="33"/>
      <c r="AQ26" s="31">
        <f ca="1"/>
        <v>-24969.036815848598</v>
      </c>
      <c r="AR26" s="31">
        <v>-0.72000000000000064</v>
      </c>
      <c r="AT26" s="31">
        <f ca="1"/>
        <v>-15784.87415256332</v>
      </c>
      <c r="AU26" s="31">
        <v>8.64</v>
      </c>
    </row>
    <row r="27" spans="9:47" ht="20.25" customHeight="1">
      <c r="J27" s="33" t="s">
        <v>227</v>
      </c>
      <c r="K27" s="32">
        <f>'C1'!E8</f>
        <v>7.3953802908153773E-2</v>
      </c>
      <c r="Y27" s="31" t="s">
        <v>276</v>
      </c>
      <c r="AQ27" s="31">
        <f ca="1"/>
        <v>-23257.469538970818</v>
      </c>
      <c r="AR27" s="31">
        <v>-0.24000000000000021</v>
      </c>
      <c r="AT27" s="31">
        <f ca="1"/>
        <v>-16024.152283528289</v>
      </c>
      <c r="AU27" s="31">
        <v>8.879999999999999</v>
      </c>
    </row>
    <row r="28" spans="9:47" ht="20.25" customHeight="1">
      <c r="J28" s="33" t="s">
        <v>216</v>
      </c>
      <c r="K28" s="32">
        <f>'C1'!E9</f>
        <v>-0.35664959080564745</v>
      </c>
      <c r="Z28" s="33" t="s">
        <v>337</v>
      </c>
      <c r="AA28" s="31" cm="1">
        <f t="array" aca="1" ref="AA28" ca="1">_xlfn.LET(
    _xlpm._coefficient, TRANSPOSE(AA17:AA21),
    _xlpm._N, AA24,
    SUM(_xlpm._coefficient * _xlfn.HSTACK(_xlpm._N ^ {4,3,2,1}, 1))
)</f>
        <v>-14089.313319871055</v>
      </c>
      <c r="AQ28" s="31">
        <f ca="1"/>
        <v>-21699.927032293934</v>
      </c>
      <c r="AR28" s="31">
        <v>0.24000000000000021</v>
      </c>
      <c r="AT28" s="31">
        <f ca="1"/>
        <v>-16271.476869693506</v>
      </c>
      <c r="AU28" s="31">
        <v>9.120000000000001</v>
      </c>
    </row>
    <row r="29" spans="9:47" ht="20.25" customHeight="1">
      <c r="J29" s="33" t="s">
        <v>207</v>
      </c>
      <c r="K29" s="32">
        <f>'C1'!E10</f>
        <v>0.18566633997122894</v>
      </c>
      <c r="Z29" s="33" t="s">
        <v>338</v>
      </c>
      <c r="AA29" s="31" cm="1">
        <f t="array" aca="1" ref="AA29" ca="1">_xlfn.LET(
    _xlpm._coefficient, TRANSPOSE(AA17:AA21),
    _xlpm._N, AA25,
    SUM(_xlpm._coefficient * _xlfn.HSTACK(_xlpm._N ^ {4,3,2,1}, 1))
)</f>
        <v>201662.11079014378</v>
      </c>
      <c r="AQ29" s="31">
        <f ca="1"/>
        <v>-20295.536634313474</v>
      </c>
      <c r="AR29" s="31">
        <v>0.71999999999999886</v>
      </c>
      <c r="AT29" s="31">
        <f ca="1"/>
        <v>-16525.295614739996</v>
      </c>
      <c r="AU29" s="31">
        <v>9.36</v>
      </c>
    </row>
    <row r="30" spans="9:47" ht="20.25" customHeight="1">
      <c r="J30" s="33" t="s">
        <v>203</v>
      </c>
      <c r="K30" s="32">
        <f>'C1'!E11</f>
        <v>5.3703258323470777</v>
      </c>
      <c r="Z30" s="33" t="s">
        <v>275</v>
      </c>
      <c r="AA30" s="31" t="b">
        <f ca="1">_xlfn.LET(
    _xlpm._f_N_min, AA28,
    _xlpm._f_N_max, AA29,
    _xlpm._f_N_min * _xlpm._f_N_max &gt;= 0
)</f>
        <v>0</v>
      </c>
      <c r="AQ30" s="31">
        <f ca="1"/>
        <v>-19042.80991237576</v>
      </c>
      <c r="AR30" s="31">
        <v>1.1999999999999993</v>
      </c>
      <c r="AT30" s="31">
        <f ca="1"/>
        <v>-16784.017736651967</v>
      </c>
      <c r="AU30" s="31">
        <v>9.6</v>
      </c>
    </row>
    <row r="31" spans="9:47" ht="20.25" customHeight="1">
      <c r="Z31" s="33" t="s">
        <v>273</v>
      </c>
      <c r="AA31" s="31" t="b">
        <f ca="1">_xlfn.LET(
    _xlpm._f_N_min, AA28,
    _xlpm._f_N_max, AA29,
    _xlpm._epsilon, K37,
    _xlpm._f_N_min_is_one_of_the_roots, ABS(_xlpm._f_N_min) &lt;= _xlpm._epsilon,
    _xlpm._f_N_max_is_one_of_the_roots, ABS(_xlpm._f_N_max) &lt;= _xlpm._epsilon,
    _xlfn.XOR(
        _xlpm._f_N_min_is_one_of_the_roots,
        _xlpm._f_N_max_is_one_of_the_roots
    )
)</f>
        <v>0</v>
      </c>
      <c r="AQ31" s="31">
        <f ca="1"/>
        <v>-17939.642662677932</v>
      </c>
      <c r="AR31" s="31">
        <v>1.6799999999999997</v>
      </c>
      <c r="AT31" s="31">
        <f ca="1"/>
        <v>-17046.013967716783</v>
      </c>
      <c r="AU31" s="31">
        <v>9.84</v>
      </c>
    </row>
    <row r="32" spans="9:47" ht="20.25" customHeight="1">
      <c r="J32" s="33" t="s">
        <v>176</v>
      </c>
      <c r="K32" s="32" t="b">
        <f>'C1'!E18</f>
        <v>1</v>
      </c>
      <c r="Z32" s="33" t="s">
        <v>270</v>
      </c>
      <c r="AA32" s="31" t="e">
        <f ca="1">_xlfn.LET(
    _xlpm._f_N_min, AA28,
    _xlpm._f_N_max, AA29,
    _xlpm._epsilon, K37,
    _xlpm._f_N_min_is_one_of_the_roots, ABS(_xlpm._f_N_min) &lt;= _xlpm._epsilon,
    _xlpm._f_N_max_is_one_of_the_roots, ABS(_xlpm._f_N_max) &lt;= _xlpm._epsilon,
    IF(
        _xlfn.XOR(
            _xlpm._f_N_min_is_one_of_the_roots,
            _xlpm._f_N_max_is_one_of_the_roots
        ),
        IF(
            _xlpm._f_N_min_is_one_of_the_roots,
            _xlpm._f_N_min,
            IF(_xlpm._f_N_max_is_one_of_the_roots, _xlpm._f_N_max, NA())
        ),
        NA()
    )
)</f>
        <v>#N/A</v>
      </c>
      <c r="AQ32" s="31">
        <f ca="1"/>
        <v>-16983.314910267942</v>
      </c>
      <c r="AR32" s="31">
        <v>2.16</v>
      </c>
      <c r="AT32" s="31">
        <f ca="1"/>
        <v>-17309.616554525008</v>
      </c>
      <c r="AU32" s="31">
        <v>10.08</v>
      </c>
    </row>
    <row r="33" spans="9:47" ht="20.25" customHeight="1">
      <c r="J33" s="33" t="s">
        <v>172</v>
      </c>
      <c r="K33" s="32">
        <f>'C1'!E19</f>
        <v>0.28465364146978933</v>
      </c>
      <c r="L33" s="31" t="s">
        <v>50</v>
      </c>
      <c r="AQ33" s="31">
        <f ca="1"/>
        <v>-16170.490909044547</v>
      </c>
      <c r="AR33" s="31">
        <v>2.6400000000000006</v>
      </c>
      <c r="AT33" s="31">
        <f ca="1"/>
        <v>-17573.11925797036</v>
      </c>
      <c r="AU33" s="31">
        <v>10.32</v>
      </c>
    </row>
    <row r="34" spans="9:47" ht="20.25" customHeight="1">
      <c r="Y34" s="31" t="s">
        <v>268</v>
      </c>
      <c r="AQ34" s="31">
        <f ca="1"/>
        <v>-15497.219141757316</v>
      </c>
      <c r="AR34" s="31">
        <v>3.1199999999999992</v>
      </c>
      <c r="AT34" s="31">
        <f ca="1"/>
        <v>-17834.777353249738</v>
      </c>
      <c r="AU34" s="31">
        <v>10.559999999999999</v>
      </c>
    </row>
    <row r="35" spans="9:47" ht="20.25" customHeight="1">
      <c r="I35" s="31" t="s">
        <v>274</v>
      </c>
      <c r="Z35" s="33" t="s">
        <v>267</v>
      </c>
      <c r="AA35" s="31" t="b">
        <f ca="1">ISNUMBER(AA36)</f>
        <v>1</v>
      </c>
      <c r="AQ35" s="31">
        <f ca="1"/>
        <v>-14958.932320006621</v>
      </c>
      <c r="AR35" s="31">
        <v>3.5999999999999996</v>
      </c>
      <c r="AT35" s="31">
        <f ca="1"/>
        <v>-18092.807629863226</v>
      </c>
      <c r="AU35" s="31">
        <v>10.8</v>
      </c>
    </row>
    <row r="36" spans="9:47" ht="20.25" customHeight="1">
      <c r="J36" s="33" t="s">
        <v>272</v>
      </c>
      <c r="K36" s="32">
        <f>10^3</f>
        <v>1000</v>
      </c>
      <c r="L36" s="31" t="s">
        <v>271</v>
      </c>
      <c r="Z36" s="33" t="s">
        <v>266</v>
      </c>
      <c r="AA36" s="31" cm="1">
        <f t="array" aca="1" ref="AA36" ca="1">_xlfn.LET(
    _xlpm._a4, AA17,
    _xlpm._a3, AA18,
    _xlpm._a2, AA19,
    _xlpm._a1, AA20,
    _xlpm._a0, AA21,
    _xlpm._N_min, AA24,
    _xlpm._N_max, AA25,
    _xlpm._n_iteration_max, K36,
    _xlpm._epsilon, K37,
    _bisection.quartic_equation(
        _xlpm._a4,
        _xlpm._a3,
        _xlpm._a2,
        _xlpm._a1,
        _xlpm._a0,
        _xlpm._N_min,
        _xlpm._N_max,
        _xlpm._n_iteration_max,
        _xlpm._epsilon
    )
)</f>
        <v>20.428306460380554</v>
      </c>
      <c r="AB36" s="31" t="s">
        <v>104</v>
      </c>
      <c r="AQ36" s="31">
        <f ca="1"/>
        <v>-14550.447384243653</v>
      </c>
      <c r="AR36" s="31">
        <v>4.0799999999999983</v>
      </c>
      <c r="AT36" s="31">
        <f ca="1"/>
        <v>-18345.388391614077</v>
      </c>
      <c r="AU36" s="31">
        <v>11.04</v>
      </c>
    </row>
    <row r="37" spans="9:47" ht="20.25" customHeight="1">
      <c r="J37" s="33" t="s">
        <v>269</v>
      </c>
      <c r="K37" s="32">
        <f>10^-3</f>
        <v>1E-3</v>
      </c>
      <c r="AQ37" s="31">
        <f ca="1"/>
        <v>-14265.9655037704</v>
      </c>
      <c r="AR37" s="31">
        <v>4.5599999999999987</v>
      </c>
      <c r="AT37" s="31">
        <f ca="1"/>
        <v>-18590.659456608722</v>
      </c>
      <c r="AU37" s="31">
        <v>11.28</v>
      </c>
    </row>
    <row r="38" spans="9:47" ht="20.25" customHeight="1">
      <c r="AQ38" s="31">
        <f ca="1"/>
        <v>-14099.072076739672</v>
      </c>
      <c r="AR38" s="31">
        <v>5.0399999999999991</v>
      </c>
      <c r="AT38" s="31">
        <f ca="1"/>
        <v>-18826.722157256758</v>
      </c>
      <c r="AU38" s="31">
        <v>11.52</v>
      </c>
    </row>
    <row r="39" spans="9:47" ht="20.25" customHeight="1">
      <c r="AQ39" s="31">
        <f ca="1"/>
        <v>-14042.736730155082</v>
      </c>
      <c r="AR39" s="31">
        <v>5.52</v>
      </c>
      <c r="AT39" s="31">
        <f ca="1"/>
        <v>-19051.63934027098</v>
      </c>
      <c r="AU39" s="31">
        <v>11.76</v>
      </c>
    </row>
    <row r="40" spans="9:47" ht="20.25" customHeight="1">
      <c r="AQ40" s="31">
        <f ca="1"/>
        <v>-14089.313319871055</v>
      </c>
      <c r="AR40" s="31">
        <v>6</v>
      </c>
      <c r="AT40" s="31">
        <f ca="1"/>
        <v>-19263.435366667334</v>
      </c>
      <c r="AU40" s="31">
        <v>12</v>
      </c>
    </row>
    <row r="41" spans="9:47" ht="20.25" customHeight="1">
      <c r="AQ41" s="31">
        <f ca="1"/>
        <v>-14230.539930592817</v>
      </c>
      <c r="AR41" s="31">
        <v>6.48</v>
      </c>
      <c r="AT41" s="31">
        <f ca="1"/>
        <v>-19460.096111764928</v>
      </c>
      <c r="AU41" s="31">
        <v>12.24</v>
      </c>
    </row>
    <row r="42" spans="9:47" ht="20.25" customHeight="1">
      <c r="AQ42" s="31">
        <f ca="1"/>
        <v>-14457.538875876415</v>
      </c>
      <c r="AR42" s="31">
        <v>6.9600000000000009</v>
      </c>
      <c r="AT42" s="31">
        <f ca="1"/>
        <v>-19639.568965186118</v>
      </c>
      <c r="AU42" s="31">
        <v>12.48</v>
      </c>
    </row>
    <row r="43" spans="9:47" ht="20.25" customHeight="1">
      <c r="AQ43" s="31">
        <f ca="1"/>
        <v>-14760.816698128692</v>
      </c>
      <c r="AR43" s="31">
        <v>7.4399999999999977</v>
      </c>
      <c r="AT43" s="31">
        <f ca="1"/>
        <v>-19799.762830856343</v>
      </c>
      <c r="AU43" s="31">
        <v>12.719999999999999</v>
      </c>
    </row>
    <row r="44" spans="9:47" ht="20.25" customHeight="1">
      <c r="AQ44" s="31">
        <f ca="1"/>
        <v>-15130.264168607318</v>
      </c>
      <c r="AR44" s="31">
        <v>7.9200000000000017</v>
      </c>
      <c r="AT44" s="31">
        <f ca="1"/>
        <v>-19938.548127004287</v>
      </c>
      <c r="AU44" s="31">
        <v>12.96</v>
      </c>
    </row>
    <row r="45" spans="9:47" ht="20.25" customHeight="1">
      <c r="AQ45" s="31">
        <f ca="1"/>
        <v>-15555.156287420752</v>
      </c>
      <c r="AR45" s="31">
        <v>8.3999999999999986</v>
      </c>
      <c r="AT45" s="31">
        <f ca="1"/>
        <v>-20053.756786161772</v>
      </c>
      <c r="AU45" s="31">
        <v>13.2</v>
      </c>
    </row>
    <row r="46" spans="9:47" ht="20.25" customHeight="1">
      <c r="AQ46" s="31">
        <f ca="1"/>
        <v>-16024.152283528289</v>
      </c>
      <c r="AR46" s="31">
        <v>8.879999999999999</v>
      </c>
      <c r="AT46" s="31">
        <f ca="1"/>
        <v>-20143.182255163803</v>
      </c>
      <c r="AU46" s="31">
        <v>13.44</v>
      </c>
    </row>
    <row r="47" spans="9:47" ht="20.25" customHeight="1">
      <c r="AQ47" s="31">
        <f ca="1"/>
        <v>-16525.295614739996</v>
      </c>
      <c r="AR47" s="31">
        <v>9.36</v>
      </c>
      <c r="AT47" s="31">
        <f ca="1"/>
        <v>-20204.57949514858</v>
      </c>
      <c r="AU47" s="31">
        <v>13.68</v>
      </c>
    </row>
    <row r="48" spans="9:47" ht="20.25" customHeight="1">
      <c r="AQ48" s="31">
        <f ca="1"/>
        <v>-17046.013967716783</v>
      </c>
      <c r="AR48" s="31">
        <v>9.84</v>
      </c>
      <c r="AT48" s="31">
        <f ca="1"/>
        <v>-20235.664981557464</v>
      </c>
      <c r="AU48" s="31">
        <v>13.92</v>
      </c>
    </row>
    <row r="49" spans="43:47" ht="20.25" customHeight="1">
      <c r="AQ49" s="31">
        <f ca="1"/>
        <v>-17573.11925797036</v>
      </c>
      <c r="AR49" s="31">
        <v>10.32</v>
      </c>
      <c r="AT49" s="31">
        <f ca="1"/>
        <v>-20234.116704134969</v>
      </c>
      <c r="AU49" s="31">
        <v>14.16</v>
      </c>
    </row>
    <row r="50" spans="43:47" ht="20.25" customHeight="1">
      <c r="AQ50" s="31">
        <f ca="1"/>
        <v>-18092.807629863226</v>
      </c>
      <c r="AR50" s="31">
        <v>10.8</v>
      </c>
      <c r="AT50" s="31">
        <f ca="1"/>
        <v>-20197.574166928833</v>
      </c>
      <c r="AU50" s="31">
        <v>14.4</v>
      </c>
    </row>
    <row r="51" spans="43:47" ht="20.25" customHeight="1">
      <c r="AQ51" s="31">
        <f ca="1"/>
        <v>-18590.659456608726</v>
      </c>
      <c r="AR51" s="31">
        <v>11.280000000000001</v>
      </c>
      <c r="AT51" s="31">
        <f ca="1"/>
        <v>-20123.63838828991</v>
      </c>
      <c r="AU51" s="31">
        <v>14.64</v>
      </c>
    </row>
    <row r="52" spans="43:47" ht="20.25" customHeight="1">
      <c r="AQ52" s="31">
        <f ca="1"/>
        <v>-19051.639340270973</v>
      </c>
      <c r="AR52" s="31">
        <v>11.759999999999998</v>
      </c>
      <c r="AT52" s="31">
        <f ca="1"/>
        <v>-20009.871900872291</v>
      </c>
      <c r="AU52" s="31">
        <v>14.879999999999999</v>
      </c>
    </row>
    <row r="53" spans="43:47" ht="20.25" customHeight="1">
      <c r="AQ53" s="31">
        <f ca="1"/>
        <v>-19460.096111764935</v>
      </c>
      <c r="AR53" s="31">
        <v>12.239999999999998</v>
      </c>
      <c r="AT53" s="31">
        <f ca="1"/>
        <v>-19853.798751633214</v>
      </c>
      <c r="AU53" s="31">
        <v>15.12</v>
      </c>
    </row>
    <row r="54" spans="43:47" ht="20.25" customHeight="1">
      <c r="AQ54" s="31">
        <f ca="1"/>
        <v>-19799.762830856343</v>
      </c>
      <c r="AR54" s="31">
        <v>12.719999999999999</v>
      </c>
      <c r="AT54" s="31">
        <f ca="1"/>
        <v>-19652.904501833087</v>
      </c>
      <c r="AU54" s="31">
        <v>15.36</v>
      </c>
    </row>
    <row r="55" spans="43:47" ht="20.25" customHeight="1">
      <c r="AQ55" s="31">
        <f ca="1"/>
        <v>-20053.756786161772</v>
      </c>
      <c r="AR55" s="31">
        <v>13.2</v>
      </c>
      <c r="AT55" s="31">
        <f ca="1"/>
        <v>-19404.636227035488</v>
      </c>
      <c r="AU55" s="31">
        <v>15.6</v>
      </c>
    </row>
    <row r="56" spans="43:47" ht="20.25" customHeight="1">
      <c r="AQ56" s="31">
        <f ca="1"/>
        <v>-20204.57949514858</v>
      </c>
      <c r="AR56" s="31">
        <v>13.68</v>
      </c>
      <c r="AT56" s="31">
        <f ca="1"/>
        <v>-19106.402517107192</v>
      </c>
      <c r="AU56" s="31">
        <v>15.84</v>
      </c>
    </row>
    <row r="57" spans="43:47" ht="20.25" customHeight="1">
      <c r="AQ57" s="31">
        <f ca="1"/>
        <v>-20234.116704134969</v>
      </c>
      <c r="AR57" s="31">
        <v>14.16</v>
      </c>
      <c r="AT57" s="31">
        <f ca="1"/>
        <v>-18755.573476218131</v>
      </c>
      <c r="AU57" s="31">
        <v>16.079999999999998</v>
      </c>
    </row>
    <row r="58" spans="43:47" ht="20.25" customHeight="1">
      <c r="AQ58" s="31">
        <f ca="1"/>
        <v>-20123.63838828991</v>
      </c>
      <c r="AR58" s="31">
        <v>14.64</v>
      </c>
      <c r="AT58" s="31">
        <f ca="1"/>
        <v>-18349.480722841436</v>
      </c>
      <c r="AU58" s="31">
        <v>16.32</v>
      </c>
    </row>
    <row r="59" spans="43:47" ht="20.25" customHeight="1">
      <c r="AQ59" s="31">
        <f ca="1"/>
        <v>-19853.798751633221</v>
      </c>
      <c r="AR59" s="31">
        <v>15.119999999999997</v>
      </c>
      <c r="AT59" s="31">
        <f ca="1"/>
        <v>-17885.417389753391</v>
      </c>
      <c r="AU59" s="31">
        <v>16.559999999999999</v>
      </c>
    </row>
    <row r="60" spans="43:47" ht="20.25" customHeight="1">
      <c r="AQ60" s="31">
        <f ca="1"/>
        <v>-19404.63622703548</v>
      </c>
      <c r="AR60" s="31">
        <v>15.599999999999998</v>
      </c>
      <c r="AT60" s="31">
        <f ca="1"/>
        <v>-17360.638124033467</v>
      </c>
      <c r="AU60" s="31">
        <v>16.799999999999997</v>
      </c>
    </row>
    <row r="61" spans="43:47" ht="20.25" customHeight="1">
      <c r="AQ61" s="31">
        <f ca="1"/>
        <v>-18755.573476218131</v>
      </c>
      <c r="AR61" s="31">
        <v>16.079999999999998</v>
      </c>
      <c r="AT61" s="31">
        <f ca="1"/>
        <v>-16772.359087064302</v>
      </c>
      <c r="AU61" s="31">
        <v>17.04</v>
      </c>
    </row>
    <row r="62" spans="43:47" ht="20.25" customHeight="1">
      <c r="AQ62" s="31">
        <f ca="1"/>
        <v>-17885.417389753391</v>
      </c>
      <c r="AR62" s="31">
        <v>16.559999999999999</v>
      </c>
      <c r="AT62" s="31">
        <f ca="1"/>
        <v>-16117.757954531706</v>
      </c>
      <c r="AU62" s="31">
        <v>17.28</v>
      </c>
    </row>
    <row r="63" spans="43:47" ht="20.25" customHeight="1">
      <c r="AQ63" s="31">
        <f ca="1"/>
        <v>-16772.359087064302</v>
      </c>
      <c r="AR63" s="31">
        <v>17.04</v>
      </c>
      <c r="AT63" s="31">
        <f ca="1"/>
        <v>-15393.973916424693</v>
      </c>
      <c r="AU63" s="31">
        <v>17.52</v>
      </c>
    </row>
    <row r="64" spans="43:47" ht="20.25" customHeight="1">
      <c r="AQ64" s="31">
        <f ca="1"/>
        <v>-15393.973916424693</v>
      </c>
      <c r="AR64" s="31">
        <v>17.52</v>
      </c>
      <c r="AT64" s="31">
        <f ca="1"/>
        <v>-14598.107677035434</v>
      </c>
      <c r="AU64" s="31">
        <v>17.759999999999998</v>
      </c>
    </row>
    <row r="65" spans="43:47" ht="20.25" customHeight="1">
      <c r="AQ65" s="31">
        <f ca="1"/>
        <v>-13727.221454959246</v>
      </c>
      <c r="AR65" s="31">
        <v>18</v>
      </c>
      <c r="AT65" s="31">
        <f ca="1"/>
        <v>-13727.221454959246</v>
      </c>
      <c r="AU65" s="31">
        <v>18</v>
      </c>
    </row>
    <row r="66" spans="43:47" ht="20.25" customHeight="1">
      <c r="AQ66" s="31">
        <f ca="1"/>
        <v>-11748.445508643403</v>
      </c>
      <c r="AR66" s="31">
        <v>18.48</v>
      </c>
      <c r="AT66" s="31">
        <f ca="1"/>
        <v>-12778.338983094669</v>
      </c>
      <c r="AU66" s="31">
        <v>18.240000000000002</v>
      </c>
    </row>
    <row r="67" spans="43:47" ht="20.25" customHeight="1">
      <c r="AQ67" s="31">
        <f ca="1"/>
        <v>-9433.3741123034633</v>
      </c>
      <c r="AR67" s="31">
        <v>18.96</v>
      </c>
      <c r="AT67" s="31">
        <f ca="1"/>
        <v>-11748.445508643403</v>
      </c>
      <c r="AU67" s="31">
        <v>18.48</v>
      </c>
    </row>
    <row r="68" spans="43:47" ht="20.25" customHeight="1">
      <c r="AQ68" s="31">
        <f ca="1"/>
        <v>-6757.119529616466</v>
      </c>
      <c r="AR68" s="31">
        <v>19.439999999999998</v>
      </c>
      <c r="AT68" s="31">
        <f ca="1"/>
        <v>-10634.487793110318</v>
      </c>
      <c r="AU68" s="31">
        <v>18.72</v>
      </c>
    </row>
    <row r="69" spans="43:47" ht="20.25" customHeight="1">
      <c r="AQ69" s="31">
        <f ca="1"/>
        <v>-3694.1782531103527</v>
      </c>
      <c r="AR69" s="31">
        <v>19.919999999999998</v>
      </c>
      <c r="AT69" s="31">
        <f ca="1"/>
        <v>-9433.3741123034633</v>
      </c>
      <c r="AU69" s="31">
        <v>18.96</v>
      </c>
    </row>
    <row r="70" spans="43:47" ht="20.25" customHeight="1">
      <c r="AQ70" s="31">
        <f ca="1"/>
        <v>-218.43100416378729</v>
      </c>
      <c r="AR70" s="31">
        <v>20.399999999999999</v>
      </c>
      <c r="AT70" s="31">
        <f ca="1"/>
        <v>-8141.9742563340333</v>
      </c>
      <c r="AU70" s="31">
        <v>19.2</v>
      </c>
    </row>
    <row r="71" spans="43:47" ht="20.25" customHeight="1">
      <c r="AQ71" s="31">
        <f ca="1"/>
        <v>3696.8572669936766</v>
      </c>
      <c r="AR71" s="31">
        <v>20.879999999999995</v>
      </c>
      <c r="AT71" s="31">
        <f ca="1"/>
        <v>-6757.119529616466</v>
      </c>
      <c r="AU71" s="31">
        <v>19.439999999999998</v>
      </c>
    </row>
    <row r="72" spans="43:47" ht="20.25" customHeight="1">
      <c r="AQ72" s="31">
        <f ca="1"/>
        <v>8079.0373812818361</v>
      </c>
      <c r="AR72" s="31">
        <v>21.36</v>
      </c>
      <c r="AT72" s="31">
        <f ca="1"/>
        <v>-5275.6027508683037</v>
      </c>
      <c r="AU72" s="31">
        <v>19.68</v>
      </c>
    </row>
    <row r="73" spans="43:47" ht="20.25" customHeight="1">
      <c r="AQ73" s="31">
        <f ca="1"/>
        <v>12956.075930769446</v>
      </c>
      <c r="AR73" s="31">
        <v>21.840000000000003</v>
      </c>
      <c r="AT73" s="31">
        <f ca="1"/>
        <v>-3694.1782531103163</v>
      </c>
      <c r="AU73" s="31">
        <v>19.920000000000002</v>
      </c>
    </row>
    <row r="74" spans="43:47" ht="20.25" customHeight="1">
      <c r="AQ74" s="31">
        <f ca="1"/>
        <v>18356.555278674532</v>
      </c>
      <c r="AR74" s="31">
        <v>22.32</v>
      </c>
      <c r="AT74" s="31">
        <f ca="1"/>
        <v>-2009.5618836664507</v>
      </c>
      <c r="AU74" s="31">
        <v>20.16</v>
      </c>
    </row>
    <row r="75" spans="43:47" ht="20.25" customHeight="1">
      <c r="AQ75" s="31">
        <f ca="1"/>
        <v>24309.673559364404</v>
      </c>
      <c r="AR75" s="31">
        <v>22.799999999999997</v>
      </c>
      <c r="AT75" s="31">
        <f ca="1"/>
        <v>-218.43100416378729</v>
      </c>
      <c r="AU75" s="31">
        <v>20.399999999999999</v>
      </c>
    </row>
    <row r="76" spans="43:47" ht="20.25" customHeight="1">
      <c r="AQ76" s="31">
        <f ca="1"/>
        <v>30845.244678355644</v>
      </c>
      <c r="AR76" s="31">
        <v>23.28</v>
      </c>
      <c r="AT76" s="31">
        <f ca="1"/>
        <v>1682.575509467446</v>
      </c>
      <c r="AU76" s="31">
        <v>20.64</v>
      </c>
    </row>
    <row r="77" spans="43:47" ht="20.25" customHeight="1">
      <c r="AQ77" s="31">
        <f ca="1"/>
        <v>37993.698312313623</v>
      </c>
      <c r="AR77" s="31">
        <v>23.759999999999998</v>
      </c>
      <c r="AT77" s="31">
        <f ca="1"/>
        <v>3696.8572669937203</v>
      </c>
      <c r="AU77" s="31">
        <v>20.88</v>
      </c>
    </row>
    <row r="78" spans="43:47" ht="20.25" customHeight="1">
      <c r="AQ78" s="31">
        <f ca="1"/>
        <v>45786.079909053289</v>
      </c>
      <c r="AR78" s="31">
        <v>24.239999999999995</v>
      </c>
      <c r="AT78" s="31">
        <f ca="1"/>
        <v>5827.8523638784318</v>
      </c>
      <c r="AU78" s="31">
        <v>21.119999999999997</v>
      </c>
    </row>
    <row r="79" spans="43:47" ht="20.25" customHeight="1">
      <c r="AQ79" s="31">
        <f ca="1"/>
        <v>54254.050687538787</v>
      </c>
      <c r="AR79" s="31">
        <v>24.72</v>
      </c>
      <c r="AT79" s="31">
        <f ca="1"/>
        <v>8079.0373812818361</v>
      </c>
      <c r="AU79" s="31">
        <v>21.36</v>
      </c>
    </row>
    <row r="80" spans="43:47" ht="20.25" customHeight="1">
      <c r="AQ80" s="31">
        <f ca="1"/>
        <v>63429.887637883199</v>
      </c>
      <c r="AR80" s="31">
        <v>25.200000000000003</v>
      </c>
      <c r="AT80" s="31">
        <f ca="1"/>
        <v>10453.927386060888</v>
      </c>
      <c r="AU80" s="31">
        <v>21.6</v>
      </c>
    </row>
    <row r="81" spans="43:47" ht="20.25" customHeight="1">
      <c r="AQ81" s="31">
        <f ca="1"/>
        <v>73346.483521348797</v>
      </c>
      <c r="AR81" s="31">
        <v>25.68</v>
      </c>
      <c r="AT81" s="31">
        <f ca="1"/>
        <v>12956.075930769388</v>
      </c>
      <c r="AU81" s="31">
        <v>21.84</v>
      </c>
    </row>
    <row r="82" spans="43:47" ht="20.25" customHeight="1">
      <c r="AQ82" s="31">
        <f ca="1"/>
        <v>84037.346870347334</v>
      </c>
      <c r="AR82" s="31">
        <v>26.159999999999997</v>
      </c>
      <c r="AT82" s="31">
        <f ca="1"/>
        <v>15589.07505365814</v>
      </c>
      <c r="AU82" s="31">
        <v>22.08</v>
      </c>
    </row>
    <row r="83" spans="43:47" ht="20.25" customHeight="1">
      <c r="AQ83" s="31">
        <f ca="1"/>
        <v>95536.601988439623</v>
      </c>
      <c r="AR83" s="31">
        <v>26.64</v>
      </c>
      <c r="AT83" s="31">
        <f ca="1"/>
        <v>18356.555278674532</v>
      </c>
      <c r="AU83" s="31">
        <v>22.32</v>
      </c>
    </row>
    <row r="84" spans="43:47" ht="20.25" customHeight="1">
      <c r="AQ84" s="31">
        <f ca="1"/>
        <v>107878.98895033542</v>
      </c>
      <c r="AR84" s="31">
        <v>27.119999999999997</v>
      </c>
      <c r="AT84" s="31">
        <f ca="1"/>
        <v>21262.185615462899</v>
      </c>
      <c r="AU84" s="31">
        <v>22.56</v>
      </c>
    </row>
    <row r="85" spans="43:47" ht="20.25" customHeight="1">
      <c r="AQ85" s="31">
        <f ca="1"/>
        <v>121099.86360189423</v>
      </c>
      <c r="AR85" s="31">
        <v>27.6</v>
      </c>
      <c r="AT85" s="31">
        <f ca="1"/>
        <v>24309.673559364448</v>
      </c>
      <c r="AU85" s="31">
        <v>22.8</v>
      </c>
    </row>
    <row r="86" spans="43:47" ht="20.25" customHeight="1">
      <c r="AQ86" s="31">
        <f ca="1"/>
        <v>135235.19756012404</v>
      </c>
      <c r="AR86" s="31">
        <v>28.08</v>
      </c>
      <c r="AT86" s="31">
        <f ca="1"/>
        <v>27502.765091417088</v>
      </c>
      <c r="AU86" s="31">
        <v>23.04</v>
      </c>
    </row>
    <row r="87" spans="43:47" ht="20.25" customHeight="1">
      <c r="AQ87" s="31">
        <f ca="1"/>
        <v>150321.57821318266</v>
      </c>
      <c r="AR87" s="31">
        <v>28.560000000000002</v>
      </c>
      <c r="AT87" s="31">
        <f ca="1"/>
        <v>30845.244678355644</v>
      </c>
      <c r="AU87" s="31">
        <v>23.28</v>
      </c>
    </row>
    <row r="88" spans="43:47" ht="20.25" customHeight="1">
      <c r="AQ88" s="31">
        <f ca="1"/>
        <v>166396.20872037669</v>
      </c>
      <c r="AR88" s="31">
        <v>29.04</v>
      </c>
      <c r="AT88" s="31">
        <f ca="1"/>
        <v>34340.935272611627</v>
      </c>
      <c r="AU88" s="31">
        <v>23.52</v>
      </c>
    </row>
    <row r="89" spans="43:47" ht="20.25" customHeight="1">
      <c r="AQ89" s="31">
        <f ca="1"/>
        <v>183496.90801216182</v>
      </c>
      <c r="AR89" s="31">
        <v>29.519999999999996</v>
      </c>
      <c r="AT89" s="31">
        <f ca="1"/>
        <v>37993.698312313623</v>
      </c>
      <c r="AU89" s="31">
        <v>23.759999999999998</v>
      </c>
    </row>
    <row r="90" spans="43:47" ht="20.25" customHeight="1">
      <c r="AQ90" s="31">
        <f ca="1"/>
        <v>201662.11079014378</v>
      </c>
      <c r="AR90" s="31">
        <v>30</v>
      </c>
      <c r="AT90" s="31">
        <f ca="1"/>
        <v>41807.433721286819</v>
      </c>
      <c r="AU90" s="31">
        <v>24</v>
      </c>
    </row>
    <row r="91" spans="43:47" ht="20.25" customHeight="1">
      <c r="AQ91" s="31">
        <f ca="1"/>
        <v>220930.86752707616</v>
      </c>
      <c r="AR91" s="31">
        <v>30.479999999999997</v>
      </c>
      <c r="AT91" s="31">
        <f ca="1"/>
        <v>45786.079909053333</v>
      </c>
      <c r="AU91" s="31">
        <v>24.24</v>
      </c>
    </row>
    <row r="92" spans="43:47" ht="20.25" customHeight="1">
      <c r="AQ92" s="31">
        <f ca="1"/>
        <v>241342.84446686317</v>
      </c>
      <c r="AR92" s="31">
        <v>30.96</v>
      </c>
      <c r="AT92" s="31">
        <f ca="1"/>
        <v>49933.61377083214</v>
      </c>
      <c r="AU92" s="31">
        <v>24.48</v>
      </c>
    </row>
    <row r="93" spans="43:47" ht="20.25" customHeight="1">
      <c r="AQ93" s="31">
        <f ca="1"/>
        <v>262938.32362455677</v>
      </c>
      <c r="AR93" s="31">
        <v>31.439999999999998</v>
      </c>
      <c r="AT93" s="31">
        <f ca="1"/>
        <v>54254.050687538787</v>
      </c>
      <c r="AU93" s="31">
        <v>24.72</v>
      </c>
    </row>
    <row r="94" spans="43:47" ht="20.25" customHeight="1">
      <c r="AQ94" s="31">
        <f ca="1"/>
        <v>285758.20278635959</v>
      </c>
      <c r="AR94" s="31">
        <v>31.92</v>
      </c>
      <c r="AT94" s="31">
        <f ca="1"/>
        <v>58751.444525785999</v>
      </c>
      <c r="AU94" s="31">
        <v>24.96</v>
      </c>
    </row>
    <row r="95" spans="43:47" ht="20.25" customHeight="1">
      <c r="AQ95" s="31">
        <f ca="1"/>
        <v>309843.99550962192</v>
      </c>
      <c r="AR95" s="31">
        <v>32.4</v>
      </c>
      <c r="AT95" s="31">
        <f ca="1"/>
        <v>63429.887637883126</v>
      </c>
      <c r="AU95" s="31">
        <v>25.2</v>
      </c>
    </row>
    <row r="96" spans="43:47" ht="20.25" customHeight="1">
      <c r="AQ96" s="31">
        <f ca="1"/>
        <v>335237.83112284448</v>
      </c>
      <c r="AR96" s="31">
        <v>32.879999999999995</v>
      </c>
      <c r="AT96" s="31">
        <f ca="1"/>
        <v>68293.510861836345</v>
      </c>
      <c r="AU96" s="31">
        <v>25.439999999999998</v>
      </c>
    </row>
    <row r="97" spans="43:47" ht="20.25" customHeight="1">
      <c r="AQ97" s="31">
        <f ca="1"/>
        <v>361982.45472567691</v>
      </c>
      <c r="AR97" s="31">
        <v>33.36</v>
      </c>
      <c r="AT97" s="31">
        <f ca="1"/>
        <v>73346.483521348797</v>
      </c>
      <c r="AU97" s="31">
        <v>25.68</v>
      </c>
    </row>
    <row r="98" spans="43:47" ht="20.25" customHeight="1">
      <c r="AQ98" s="31">
        <f ca="1"/>
        <v>390121.22718891734</v>
      </c>
      <c r="AR98" s="31">
        <v>33.839999999999996</v>
      </c>
      <c r="AT98" s="31">
        <f ca="1"/>
        <v>78593.013425820187</v>
      </c>
      <c r="AU98" s="31">
        <v>25.919999999999998</v>
      </c>
    </row>
    <row r="99" spans="43:47" ht="20.25" customHeight="1">
      <c r="AQ99" s="31">
        <f ca="1"/>
        <v>419698.1251545141</v>
      </c>
      <c r="AR99" s="31">
        <v>34.32</v>
      </c>
      <c r="AT99" s="31">
        <f ca="1"/>
        <v>84037.346870347363</v>
      </c>
      <c r="AU99" s="31">
        <v>26.16</v>
      </c>
    </row>
    <row r="100" spans="43:47" ht="20.25" customHeight="1">
      <c r="AQ100" s="31">
        <f ca="1"/>
        <v>450757.74103556341</v>
      </c>
      <c r="AR100" s="31">
        <v>34.799999999999997</v>
      </c>
      <c r="AT100" s="31">
        <f ca="1"/>
        <v>89683.768635723711</v>
      </c>
      <c r="AU100" s="31">
        <v>26.4</v>
      </c>
    </row>
    <row r="101" spans="43:47" ht="20.25" customHeight="1">
      <c r="AQ101" s="31">
        <f ca="1"/>
        <v>483345.28301631263</v>
      </c>
      <c r="AR101" s="31">
        <v>35.28</v>
      </c>
      <c r="AT101" s="31">
        <f ca="1"/>
        <v>95536.601988439623</v>
      </c>
      <c r="AU101" s="31">
        <v>26.64</v>
      </c>
    </row>
    <row r="102" spans="43:47" ht="20.25" customHeight="1">
      <c r="AQ102" s="31">
        <f ca="1"/>
        <v>517506.57505215623</v>
      </c>
      <c r="AR102" s="31">
        <v>35.76</v>
      </c>
      <c r="AT102" s="31">
        <f ca="1"/>
        <v>101600.2086806822</v>
      </c>
      <c r="AU102" s="31">
        <v>26.88</v>
      </c>
    </row>
    <row r="103" spans="43:47" ht="20.25" customHeight="1">
      <c r="AQ103" s="31">
        <f ca="1"/>
        <v>553288.05686963897</v>
      </c>
      <c r="AR103" s="31">
        <v>36.239999999999995</v>
      </c>
      <c r="AT103" s="31">
        <f ca="1"/>
        <v>107878.98895033542</v>
      </c>
      <c r="AU103" s="31">
        <v>27.119999999999997</v>
      </c>
    </row>
    <row r="104" spans="43:47" ht="20.25" customHeight="1">
      <c r="AQ104" s="31">
        <f ca="1"/>
        <v>590736.78396645514</v>
      </c>
      <c r="AR104" s="31">
        <v>36.72</v>
      </c>
      <c r="AT104" s="31">
        <f ca="1"/>
        <v>114377.3815209803</v>
      </c>
      <c r="AU104" s="31">
        <v>27.36</v>
      </c>
    </row>
    <row r="105" spans="43:47" ht="20.25" customHeight="1">
      <c r="AQ105" s="31">
        <f ca="1"/>
        <v>629900.42761144706</v>
      </c>
      <c r="AR105" s="31">
        <v>37.199999999999996</v>
      </c>
      <c r="AT105" s="31">
        <f ca="1"/>
        <v>121099.86360189409</v>
      </c>
      <c r="AU105" s="31">
        <v>27.599999999999998</v>
      </c>
    </row>
    <row r="106" spans="43:47" ht="20.25" customHeight="1">
      <c r="AQ106" s="31">
        <f ca="1"/>
        <v>670827.27484460769</v>
      </c>
      <c r="AR106" s="31">
        <v>37.68</v>
      </c>
      <c r="AT106" s="31">
        <f ca="1"/>
        <v>128050.95088805171</v>
      </c>
      <c r="AU106" s="31">
        <v>27.84</v>
      </c>
    </row>
    <row r="107" spans="43:47" ht="20.25" customHeight="1">
      <c r="AQ107" s="31">
        <f ca="1"/>
        <v>713566.22847707721</v>
      </c>
      <c r="AR107" s="31">
        <v>38.159999999999997</v>
      </c>
      <c r="AT107" s="31">
        <f ca="1"/>
        <v>135235.19756012404</v>
      </c>
      <c r="AU107" s="31">
        <v>28.08</v>
      </c>
    </row>
    <row r="108" spans="43:47" ht="20.25" customHeight="1">
      <c r="AQ108" s="31">
        <f ca="1"/>
        <v>758166.80709114752</v>
      </c>
      <c r="AR108" s="31">
        <v>38.64</v>
      </c>
      <c r="AT108" s="31">
        <f ca="1"/>
        <v>142657.19628447943</v>
      </c>
      <c r="AU108" s="31">
        <v>28.32</v>
      </c>
    </row>
    <row r="109" spans="43:47" ht="20.25" customHeight="1">
      <c r="AQ109" s="31">
        <f ca="1"/>
        <v>804679.14504025702</v>
      </c>
      <c r="AR109" s="31">
        <v>39.119999999999997</v>
      </c>
      <c r="AT109" s="31">
        <f ca="1"/>
        <v>150321.57821318266</v>
      </c>
      <c r="AU109" s="31">
        <v>28.56</v>
      </c>
    </row>
    <row r="110" spans="43:47" ht="20.25" customHeight="1">
      <c r="AQ110" s="31">
        <f ca="1"/>
        <v>853153.99244899594</v>
      </c>
      <c r="AR110" s="31">
        <v>39.6</v>
      </c>
      <c r="AT110" s="31">
        <f ca="1"/>
        <v>158233.01298399555</v>
      </c>
      <c r="AU110" s="31">
        <v>28.8</v>
      </c>
    </row>
    <row r="111" spans="43:47" ht="20.25" customHeight="1">
      <c r="AQ111" s="31">
        <f ca="1"/>
        <v>903642.71521310112</v>
      </c>
      <c r="AR111" s="31">
        <v>40.08</v>
      </c>
      <c r="AT111" s="31">
        <f ca="1"/>
        <v>166396.20872037669</v>
      </c>
      <c r="AU111" s="31">
        <v>29.04</v>
      </c>
    </row>
    <row r="112" spans="43:47" ht="20.25" customHeight="1">
      <c r="AQ112" s="31">
        <f ca="1"/>
        <v>956197.29499946081</v>
      </c>
      <c r="AR112" s="31">
        <v>40.559999999999995</v>
      </c>
      <c r="AT112" s="31">
        <f ca="1"/>
        <v>174815.91203148128</v>
      </c>
      <c r="AU112" s="31">
        <v>29.279999999999998</v>
      </c>
    </row>
    <row r="113" spans="43:47" ht="20.25" customHeight="1">
      <c r="AQ113" s="31">
        <f ca="1"/>
        <v>1010870.3292461118</v>
      </c>
      <c r="AR113" s="31">
        <v>41.04</v>
      </c>
      <c r="AT113" s="31">
        <f ca="1"/>
        <v>183496.90801216193</v>
      </c>
      <c r="AU113" s="31">
        <v>29.52</v>
      </c>
    </row>
    <row r="114" spans="43:47" ht="20.25" customHeight="1">
      <c r="AQ114" s="31">
        <f ca="1"/>
        <v>1067715.0311622382</v>
      </c>
      <c r="AR114" s="31">
        <v>41.519999999999996</v>
      </c>
      <c r="AT114" s="31">
        <f ca="1"/>
        <v>192444.02024296744</v>
      </c>
      <c r="AU114" s="31">
        <v>29.759999999999998</v>
      </c>
    </row>
    <row r="115" spans="43:47" ht="20.25" customHeight="1">
      <c r="AQ115" s="31">
        <f ca="1"/>
        <v>1126785.2297281767</v>
      </c>
      <c r="AR115" s="31">
        <v>42</v>
      </c>
      <c r="AT115" s="31">
        <f ca="1"/>
        <v>201662.11079014378</v>
      </c>
      <c r="AU115" s="31">
        <v>30</v>
      </c>
    </row>
  </sheetData>
  <sheetProtection algorithmName="SHA-512" hashValue="spRTpVLyg1SqKMjpzKbHe19HQP7e4YYBj1e7pILsmaH9bm6T+JsPejNrwKhSeStwsFrr1dvl/MYf1gihToLhAQ==" saltValue="HtDVn4ns/xn8/VGEm9ZkCA==" spinCount="100000" sheet="1" objects="1" scenarios="1"/>
  <phoneticPr fontId="2"/>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F3F36-4084-4921-964A-E7F92F608CFD}">
  <sheetPr codeName="Sheet27">
    <tabColor theme="0" tint="-0.499984740745262"/>
  </sheetPr>
  <dimension ref="A1:AZ115"/>
  <sheetViews>
    <sheetView showGridLines="0" workbookViewId="0"/>
  </sheetViews>
  <sheetFormatPr defaultColWidth="3.375" defaultRowHeight="20.25" customHeight="1"/>
  <cols>
    <col min="1" max="2" width="3.375" style="31"/>
    <col min="3" max="3" width="27.75" style="31" bestFit="1" customWidth="1"/>
    <col min="4" max="4" width="10" style="31" bestFit="1" customWidth="1"/>
    <col min="5" max="5" width="3.75" style="31" bestFit="1" customWidth="1"/>
    <col min="6" max="9" width="3.375" style="31"/>
    <col min="10" max="10" width="38.75" style="31" bestFit="1" customWidth="1"/>
    <col min="11" max="11" width="9.375" style="31" customWidth="1"/>
    <col min="12" max="12" width="5.375" style="31" bestFit="1" customWidth="1"/>
    <col min="13" max="14" width="3.375" style="31"/>
    <col min="15" max="15" width="3.75" style="31" bestFit="1" customWidth="1"/>
    <col min="16" max="16" width="3.75" style="31" customWidth="1"/>
    <col min="17" max="17" width="27.625" style="31" bestFit="1" customWidth="1"/>
    <col min="18" max="18" width="15.875" style="31" customWidth="1"/>
    <col min="19" max="22" width="3.75" style="31" customWidth="1"/>
    <col min="23" max="25" width="3.375" style="31"/>
    <col min="26" max="26" width="21.375" style="31" bestFit="1" customWidth="1"/>
    <col min="27" max="27" width="21" style="31" bestFit="1" customWidth="1"/>
    <col min="28" max="28" width="3.75" style="31" bestFit="1" customWidth="1"/>
    <col min="29" max="42" width="3.375" style="31"/>
    <col min="43" max="44" width="8.125" style="31" customWidth="1"/>
    <col min="45" max="45" width="3.375" style="31" customWidth="1"/>
    <col min="46" max="47" width="8.125" style="31" customWidth="1"/>
    <col min="48" max="49" width="3.375" style="31"/>
    <col min="50" max="50" width="13.125" style="31" bestFit="1" customWidth="1"/>
    <col min="51" max="51" width="13.25" style="31" customWidth="1"/>
    <col min="52" max="52" width="4.25" style="31" bestFit="1" customWidth="1"/>
    <col min="53" max="16384" width="3.375" style="31"/>
  </cols>
  <sheetData>
    <row r="1" spans="1:52" s="40" customFormat="1" ht="20.25" customHeight="1">
      <c r="A1" s="40" t="s">
        <v>509</v>
      </c>
    </row>
    <row r="2" spans="1:52" s="40" customFormat="1" ht="30">
      <c r="B2" s="41" t="str">
        <f ca="1">_xlfn.LET(
    _xlpm._header, "回転数を数値計算で求める",
    _xlpm._numbering, IFERROR(K8,K9),
    _xlpm._header &amp; "（要求条件番号：" &amp; _xlpm._numbering &amp; "）"
)</f>
        <v>回転数を数値計算で求める（要求条件番号：6）</v>
      </c>
    </row>
    <row r="3" spans="1:52" s="39" customFormat="1" ht="7.5" customHeight="1"/>
    <row r="5" spans="1:52" ht="20.25" customHeight="1">
      <c r="B5" s="31" t="s">
        <v>102</v>
      </c>
      <c r="G5" s="31" t="s">
        <v>101</v>
      </c>
      <c r="N5" s="31" t="s">
        <v>303</v>
      </c>
    </row>
    <row r="6" spans="1:52" ht="20.25" customHeight="1">
      <c r="C6" s="31" t="s">
        <v>302</v>
      </c>
      <c r="D6" s="31">
        <f ca="1">AY7</f>
        <v>22.530391037464142</v>
      </c>
      <c r="E6" s="31" t="s">
        <v>104</v>
      </c>
      <c r="H6" s="31" t="s">
        <v>99</v>
      </c>
      <c r="O6" s="31" t="s">
        <v>301</v>
      </c>
      <c r="V6" s="31" t="s">
        <v>300</v>
      </c>
      <c r="AW6" s="31" t="s">
        <v>299</v>
      </c>
    </row>
    <row r="7" spans="1:52" ht="20.25" customHeight="1">
      <c r="I7" s="31" t="s">
        <v>343</v>
      </c>
      <c r="AX7" s="33" t="s">
        <v>266</v>
      </c>
      <c r="AY7" s="31">
        <f ca="1">_xlfn.LET(
    _xlpm._N_bisection, AA36,
    _xlpm._N_initial, AA32,
    _xlpm._initial_values_are_invalid, AA30,
    _xlpm._m_c_is_out_of_range, NOT(R24),
    _xlpm._N_initial_is_one_of_the_roots, AA31,
    _xlpm._converged, AA35,
    IF(
        OR(
            _xlpm._initial_values_are_invalid,
            _xlpm._m_c_is_out_of_range
        ),
        NA(),
        IF(
            _xlpm._N_initial_is_one_of_the_roots,
            _xlpm._N_initial,
            IF(_xlpm._converged, _xlpm._N_bisection, NA())
        )
    )
)</f>
        <v>22.530391037464142</v>
      </c>
      <c r="AZ7" s="31" t="s">
        <v>104</v>
      </c>
    </row>
    <row r="8" spans="1:52" ht="20.25" customHeight="1">
      <c r="J8" s="33" t="s">
        <v>344</v>
      </c>
      <c r="K8" s="53" cm="1">
        <f t="array" aca="1" ref="K8" ca="1">_xlfn.LET(
    _xlpm._name_sheet, _xlfn.TEXTAFTER(
        _xlfn.TAKE(_xlfn.TEXTSPLIT( CELL("filename",A1), , "\"), -1),
        "]"
    ),
   VALUE(_xlfn.TEXTAFTER(_xlpm._name_sheet, "_"))
)</f>
        <v>6</v>
      </c>
    </row>
    <row r="9" spans="1:52" ht="20.25" customHeight="1">
      <c r="J9" s="33" t="s">
        <v>345</v>
      </c>
      <c r="K9" s="32">
        <v>6</v>
      </c>
      <c r="Q9" s="33" t="s">
        <v>295</v>
      </c>
      <c r="R9" s="31">
        <f ca="1">_xlfn.LET(
    _xlpm._m_c, K10,
    _xlpm._rho, K13,
    _xlpm._N_r, K21,
    _xlpm._D, K20,
    _xlpm._m_c * _xlpm._rho ^ -1 * _xlpm._N_r ^ -1 * _xlpm._D ^ -3
)</f>
        <v>3.1481481481481484</v>
      </c>
      <c r="S9" s="31" t="s">
        <v>84</v>
      </c>
    </row>
    <row r="10" spans="1:52" ht="20.25" customHeight="1">
      <c r="J10" s="33" t="s">
        <v>298</v>
      </c>
      <c r="K10" s="32" cm="1">
        <f t="array" aca="1" ref="K10" ca="1">_xlfn.LET(
    _xlpm._m_c,_xlfn.ANCHORARRAY( prm!A5),
    _xlpm._numbering, IFERROR(K8,K9),
    INDEX(_xlpm._m_c, _xlpm._numbering)
)</f>
        <v>2550</v>
      </c>
      <c r="L10" s="31" t="s">
        <v>92</v>
      </c>
      <c r="AR10" s="48" t="s">
        <v>210</v>
      </c>
    </row>
    <row r="11" spans="1:52" ht="20.25" customHeight="1">
      <c r="J11" s="33" t="s">
        <v>297</v>
      </c>
      <c r="K11" s="32" cm="1">
        <f t="array" aca="1" ref="K11" ca="1">_xlfn.LET(
    _xlpm._dP_c,_xlfn.ANCHORARRAY( prm!B5),
    _xlpm._numbering, IFERROR(K8,K9),
    INDEX(_xlpm._dP_c, _xlpm._numbering)
)</f>
        <v>151.71199999999999</v>
      </c>
      <c r="L11" s="31" t="s">
        <v>296</v>
      </c>
      <c r="P11" s="31" t="s">
        <v>294</v>
      </c>
      <c r="AR11" s="32">
        <v>1</v>
      </c>
      <c r="AT11" s="31" t="s">
        <v>336</v>
      </c>
    </row>
    <row r="12" spans="1:52" ht="20.25" customHeight="1">
      <c r="I12" s="31" t="s">
        <v>342</v>
      </c>
      <c r="J12" s="33"/>
      <c r="K12" s="33"/>
      <c r="L12" s="33"/>
      <c r="AQ12" s="37" t="s">
        <v>202</v>
      </c>
      <c r="AR12" s="37" t="s">
        <v>201</v>
      </c>
      <c r="AT12" s="37" t="s">
        <v>202</v>
      </c>
      <c r="AU12" s="37" t="s">
        <v>201</v>
      </c>
    </row>
    <row r="13" spans="1:52" ht="20.25" customHeight="1">
      <c r="J13" s="33" t="s">
        <v>115</v>
      </c>
      <c r="K13" s="32">
        <f>10^3</f>
        <v>1000</v>
      </c>
      <c r="L13" s="31" t="s">
        <v>114</v>
      </c>
      <c r="AQ13" s="47" t="s">
        <v>335</v>
      </c>
      <c r="AR13" s="47" t="s">
        <v>334</v>
      </c>
      <c r="AT13" s="47" t="s">
        <v>335</v>
      </c>
      <c r="AU13" s="47" t="s">
        <v>334</v>
      </c>
    </row>
    <row r="14" spans="1:52" ht="20.25" customHeight="1">
      <c r="J14" s="33"/>
      <c r="AQ14" s="35" t="s">
        <v>84</v>
      </c>
      <c r="AR14" s="35" t="s">
        <v>84</v>
      </c>
      <c r="AT14" s="35" t="s">
        <v>84</v>
      </c>
      <c r="AU14" s="35" t="s">
        <v>84</v>
      </c>
    </row>
    <row r="15" spans="1:52" ht="20.25" customHeight="1">
      <c r="I15" s="31" t="s">
        <v>529</v>
      </c>
      <c r="X15" s="31" t="s">
        <v>293</v>
      </c>
      <c r="AQ15" s="31" cm="1">
        <f t="array" aca="1" ref="AQ15:AQ115" ca="1">_xlfn.LET(
    _xlpm._coefficient, TRANSPOSE(AA17:AA21),
    _xlpm._values_N,_xlfn.ANCHORARRAY( AR15),
    _xlfn.MAP(
        _xlpm._values_N,
        _xlfn.LAMBDA(_xlpm._N,
            SUM(
                _xlpm._coefficient *
                    _xlfn.HSTACK(_xlpm._N ^ {4,3,2,1}, 1)
            )
        )
    )
)</f>
        <v>-95697.415233356398</v>
      </c>
      <c r="AR15" s="31" cm="1">
        <f t="array" ref="AR15:AR115">_xlfn.LET(
    _xlpm._number_divisions, 100,
    _xlpm._rate_extrapolation, AR11,
    _xlpm._N0, AA24,
    _xlpm._N1, AA25,
    _xlpm._extrapolation, (_xlpm._N1 - _xlpm._N0) * _xlpm._rate_extrapolation,
    ((_xlpm._N1 - _xlpm._N0) + _xlpm._extrapolation) / _xlpm._number_divisions *
        (_xlfn.SEQUENCE(_xlpm._number_divisions + 1) - 1) + _xlpm._N0 -
        _xlpm._extrapolation / 2
)</f>
        <v>-6</v>
      </c>
      <c r="AT15" s="31" cm="1">
        <f t="array" aca="1" ref="AT15:AT115" ca="1">_xlfn.LET(
    _xlpm._coefficient, TRANSPOSE(AA17:AA21),
    _xlpm._values_N,_xlfn.ANCHORARRAY( AU15),
    _xlfn.MAP(
        _xlpm._values_N,
        _xlfn.LAMBDA(_xlpm._N,
            SUM(
                _xlpm._coefficient *
                    _xlfn.HSTACK(_xlpm._N ^ {4,3,2,1}, 1)
            )
        )
    )
)</f>
        <v>-27731.382935248817</v>
      </c>
      <c r="AU15" s="31" cm="1">
        <f t="array" ref="AU15:AU115">_xlfn.LET(
    _xlpm._number_divisions, 100,
    _xlpm._N0, AA24,
    _xlpm._N1, AA25,
    (_xlpm._N1 - _xlpm._N0) / _xlpm._number_divisions *
        (_xlfn.SEQUENCE(_xlpm._number_divisions + 1) - 1) + _xlpm._N0
)</f>
        <v>6</v>
      </c>
    </row>
    <row r="16" spans="1:52" ht="20.25" customHeight="1">
      <c r="J16" s="33" t="s">
        <v>530</v>
      </c>
      <c r="K16" s="32">
        <f>'C1'!E14</f>
        <v>1.832382785185185E-2</v>
      </c>
      <c r="L16" s="31" t="s">
        <v>5</v>
      </c>
      <c r="Y16" s="31" t="s">
        <v>292</v>
      </c>
      <c r="AQ16" s="31">
        <f ca="1"/>
        <v>-90686.164528156456</v>
      </c>
      <c r="AR16" s="31">
        <v>-5.52</v>
      </c>
      <c r="AT16" s="31">
        <f ca="1"/>
        <v>-27523.469543051473</v>
      </c>
      <c r="AU16" s="31">
        <v>6.24</v>
      </c>
    </row>
    <row r="17" spans="9:47" ht="20.25" customHeight="1">
      <c r="J17" s="33" t="s">
        <v>531</v>
      </c>
      <c r="K17" s="32">
        <f>'C1'!E15</f>
        <v>5.6803866333333337</v>
      </c>
      <c r="L17" s="31" t="s">
        <v>5</v>
      </c>
      <c r="Q17" s="33" t="s">
        <v>291</v>
      </c>
      <c r="R17" s="31">
        <f>_xlfn.LET(
    _xlpm._rho, K13,
    _xlpm._N_r, K21,
    _xlpm._D, K20,
    _xlpm._C_f_p, K33,
    _xlpm._C_f_min_sample, K16,
    _xlpm._local_maximum_exists, K32,
    IF(
        _xlpm._local_maximum_exists,
        _xlpm._C_f_p,
        _xlpm._C_f_min_sample
    )
)</f>
        <v>0.28465364146978933</v>
      </c>
      <c r="S17" s="31" t="s">
        <v>84</v>
      </c>
      <c r="Z17" s="33" t="s">
        <v>290</v>
      </c>
      <c r="AA17" s="31">
        <f>_xlfn.LET(
    _xlpm._alpha_5, K30,
    _xlpm._rho, K13,
    _xlpm._D, K20,
    _xlpm._rho * _xlpm._D ^ 2 * _xlpm._alpha_5 * 10 ^ -3
)</f>
        <v>0.48332932491123698</v>
      </c>
      <c r="AQ17" s="31">
        <f ca="1"/>
        <v>-85848.028076446499</v>
      </c>
      <c r="AR17" s="31">
        <v>-5.04</v>
      </c>
      <c r="AT17" s="31">
        <f ca="1"/>
        <v>-27349.601574876317</v>
      </c>
      <c r="AU17" s="31">
        <v>6.48</v>
      </c>
    </row>
    <row r="18" spans="9:47" ht="20.25" customHeight="1">
      <c r="Z18" s="33" t="s">
        <v>288</v>
      </c>
      <c r="AA18" s="31">
        <f ca="1">_xlfn.LET(
    _xlpm._alpha_4, K29,
    _xlpm._m_c, K10,
    _xlpm._D, K20,
    _xlpm._alpha_4 * _xlpm._m_c * _xlpm._D ^ -1 * 10 ^ -3
)</f>
        <v>1.578163889755446</v>
      </c>
      <c r="AQ18" s="31">
        <f ca="1"/>
        <v>-81188.732167062233</v>
      </c>
      <c r="AR18" s="31">
        <v>-4.5600000000000005</v>
      </c>
      <c r="AT18" s="31">
        <f ca="1"/>
        <v>-27208.628260531827</v>
      </c>
      <c r="AU18" s="31">
        <v>6.72</v>
      </c>
    </row>
    <row r="19" spans="9:47" ht="20.25" customHeight="1">
      <c r="I19" s="31" t="s">
        <v>112</v>
      </c>
      <c r="J19" s="33"/>
      <c r="Z19" s="33" t="s">
        <v>286</v>
      </c>
      <c r="AA19" s="31">
        <f ca="1">_xlfn.LET(
    _xlpm._alpha_3, K28,
    _xlpm._m_c, K10,
    _xlpm._rho, K13,
    _xlpm._D, K20,
    _xlpm._dP_c, K11,
    _xlpm._alpha_3 * _xlpm._m_c ^ 2 * 10 ^ -3 * _xlpm._rho ^ -1 * _xlpm._D ^ -4 - _xlpm._dP_c
)</f>
        <v>-438.02236595231142</v>
      </c>
      <c r="AQ19" s="31">
        <f ca="1"/>
        <v>-76713.387317690183</v>
      </c>
      <c r="AR19" s="31">
        <v>-4.08</v>
      </c>
      <c r="AT19" s="31">
        <f ca="1"/>
        <v>-27099.360344129644</v>
      </c>
      <c r="AU19" s="31">
        <v>6.96</v>
      </c>
    </row>
    <row r="20" spans="9:47" ht="20.25" customHeight="1">
      <c r="J20" s="33" t="s">
        <v>111</v>
      </c>
      <c r="K20" s="32">
        <v>0.3</v>
      </c>
      <c r="L20" s="31" t="s">
        <v>110</v>
      </c>
      <c r="Z20" s="33" t="s">
        <v>285</v>
      </c>
      <c r="AA20" s="31">
        <f ca="1">_xlfn.LET(
    _xlpm._alpha_2, K27,
    _xlpm._m_c, K10,
    _xlpm._rho, K13,
    _xlpm._D, K20,
    _xlpm._alpha_2 * _xlpm._m_c ^ 3 * 10 ^ -3 * _xlpm._rho ^ -2 * _xlpm._D ^ -7
)</f>
        <v>5607.0221248111029</v>
      </c>
      <c r="AQ20" s="31">
        <f ca="1"/>
        <v>-72426.488274867705</v>
      </c>
      <c r="AR20" s="31">
        <v>-3.5999999999999996</v>
      </c>
      <c r="AT20" s="31">
        <f ca="1"/>
        <v>-27020.570084084622</v>
      </c>
      <c r="AU20" s="31">
        <v>7.2</v>
      </c>
    </row>
    <row r="21" spans="9:47" ht="20.25" customHeight="1">
      <c r="J21" s="33" t="s">
        <v>105</v>
      </c>
      <c r="K21" s="32">
        <f>prm!D5</f>
        <v>30</v>
      </c>
      <c r="L21" s="31" t="s">
        <v>104</v>
      </c>
      <c r="Q21" s="33" t="s">
        <v>283</v>
      </c>
      <c r="R21" s="31">
        <f>K17</f>
        <v>5.6803866333333337</v>
      </c>
      <c r="S21" s="31" t="s">
        <v>84</v>
      </c>
      <c r="Z21" s="33" t="s">
        <v>282</v>
      </c>
      <c r="AA21" s="31">
        <f ca="1">_xlfn.LET(
    _xlpm._alpha_1, K26,
    _xlpm._m_c, K10,
    _xlpm._rho, K13,
    _xlpm._D, K20,
    _xlpm._alpha_1 * _xlpm._m_c ^ 4 * 10 ^ -3 * _xlpm._rho ^ -3 * _xlpm._D ^ -10
)</f>
        <v>-46571.988715104359</v>
      </c>
      <c r="AQ21" s="31">
        <f ca="1"/>
        <v>-68331.914013982954</v>
      </c>
      <c r="AR21" s="31">
        <v>-3.120000000000001</v>
      </c>
      <c r="AT21" s="31">
        <f ca="1"/>
        <v>-26970.99125311476</v>
      </c>
      <c r="AU21" s="31">
        <v>7.4399999999999995</v>
      </c>
    </row>
    <row r="22" spans="9:47" ht="20.25" customHeight="1">
      <c r="J22" s="33" t="s">
        <v>289</v>
      </c>
      <c r="K22" s="32">
        <f>prm!E5</f>
        <v>0.2</v>
      </c>
      <c r="L22" s="31" t="s">
        <v>84</v>
      </c>
      <c r="Z22" s="33"/>
      <c r="AQ22" s="31">
        <f ca="1"/>
        <v>-64432.927739274848</v>
      </c>
      <c r="AR22" s="31">
        <v>-2.6400000000000006</v>
      </c>
      <c r="AT22" s="31">
        <f ca="1"/>
        <v>-26949.319138241233</v>
      </c>
      <c r="AU22" s="31">
        <v>7.68</v>
      </c>
    </row>
    <row r="23" spans="9:47" ht="20.25" customHeight="1">
      <c r="J23" s="33" t="s">
        <v>287</v>
      </c>
      <c r="K23" s="32">
        <f>prm!F5</f>
        <v>1</v>
      </c>
      <c r="L23" s="31" t="s">
        <v>84</v>
      </c>
      <c r="P23" s="31" t="s">
        <v>281</v>
      </c>
      <c r="Y23" s="31" t="s">
        <v>280</v>
      </c>
      <c r="AQ23" s="31">
        <f ca="1"/>
        <v>-60732.176883833206</v>
      </c>
      <c r="AR23" s="31">
        <v>-2.16</v>
      </c>
      <c r="AT23" s="31">
        <f ca="1"/>
        <v>-26954.210540788408</v>
      </c>
      <c r="AU23" s="31">
        <v>7.92</v>
      </c>
    </row>
    <row r="24" spans="9:47" ht="20.25" customHeight="1">
      <c r="Q24" s="33" t="s">
        <v>279</v>
      </c>
      <c r="R24" s="31" t="b">
        <f ca="1">_xlfn.LET(
    _xlpm._C_f_c, R9,
    _xlpm._C_f_min, R17,
    _xlpm._C_f_max, R21,
    AND(_xlpm._C_f_min &lt;= _xlpm._C_f_c, _xlpm._C_f_c &lt;= _xlpm._C_f_max)
)</f>
        <v>1</v>
      </c>
      <c r="Z24" s="33" t="s">
        <v>278</v>
      </c>
      <c r="AA24" s="31">
        <f>_xlfn.LET(
    _xlpm._N_r, K21,
    _xlpm._R_N_min, K22,
    _xlpm._N_r * _xlpm._R_N_min
)</f>
        <v>6</v>
      </c>
      <c r="AB24" s="31" t="s">
        <v>104</v>
      </c>
      <c r="AQ24" s="31">
        <f ca="1"/>
        <v>-57231.693109598578</v>
      </c>
      <c r="AR24" s="31">
        <v>-1.6799999999999997</v>
      </c>
      <c r="AT24" s="31">
        <f ca="1"/>
        <v>-26984.283776383825</v>
      </c>
      <c r="AU24" s="31">
        <v>8.16</v>
      </c>
    </row>
    <row r="25" spans="9:47" ht="20.25" customHeight="1">
      <c r="I25" s="31" t="s">
        <v>284</v>
      </c>
      <c r="Z25" s="33" t="s">
        <v>277</v>
      </c>
      <c r="AA25" s="31">
        <f>_xlfn.LET(
    _xlpm._N_r, K21,
    _xlpm._R_N_max, K23,
    _xlpm._N_r * _xlpm._R_N_max
)</f>
        <v>30</v>
      </c>
      <c r="AB25" s="31" t="s">
        <v>104</v>
      </c>
      <c r="AQ25" s="31">
        <f ca="1"/>
        <v>-53932.892307362366</v>
      </c>
      <c r="AR25" s="31">
        <v>-1.1999999999999993</v>
      </c>
      <c r="AT25" s="31">
        <f ca="1"/>
        <v>-27038.118674958183</v>
      </c>
      <c r="AU25" s="31">
        <v>8.4</v>
      </c>
    </row>
    <row r="26" spans="9:47" ht="20.25" customHeight="1">
      <c r="J26" s="33" t="s">
        <v>235</v>
      </c>
      <c r="K26" s="32">
        <f>'C1'!E7</f>
        <v>-6.5039412408014396E-3</v>
      </c>
      <c r="Z26" s="33"/>
      <c r="AQ26" s="31">
        <f ca="1"/>
        <v>-50836.574596766775</v>
      </c>
      <c r="AR26" s="31">
        <v>-0.72000000000000064</v>
      </c>
      <c r="AT26" s="31">
        <f ca="1"/>
        <v>-27114.256580745368</v>
      </c>
      <c r="AU26" s="31">
        <v>8.64</v>
      </c>
    </row>
    <row r="27" spans="9:47" ht="20.25" customHeight="1">
      <c r="J27" s="33" t="s">
        <v>227</v>
      </c>
      <c r="K27" s="32">
        <f>'C1'!E8</f>
        <v>7.3953802908153773E-2</v>
      </c>
      <c r="Y27" s="31" t="s">
        <v>276</v>
      </c>
      <c r="AQ27" s="31">
        <f ca="1"/>
        <v>-47942.92432630479</v>
      </c>
      <c r="AR27" s="31">
        <v>-0.24000000000000021</v>
      </c>
      <c r="AT27" s="31">
        <f ca="1"/>
        <v>-27211.200352282456</v>
      </c>
      <c r="AU27" s="31">
        <v>8.879999999999999</v>
      </c>
    </row>
    <row r="28" spans="9:47" ht="20.25" customHeight="1">
      <c r="J28" s="33" t="s">
        <v>216</v>
      </c>
      <c r="K28" s="32">
        <f>'C1'!E9</f>
        <v>-0.35664959080564745</v>
      </c>
      <c r="Z28" s="33" t="s">
        <v>337</v>
      </c>
      <c r="AA28" s="31" cm="1">
        <f t="array" aca="1" ref="AA28" ca="1">_xlfn.LET(
    _xlpm._coefficient, TRANSPOSE(AA17:AA21),
    _xlpm._N, AA24,
    SUM(_xlpm._coefficient * _xlfn.HSTACK(_xlpm._N ^ {4,3,2,1}, 1))
)</f>
        <v>-27731.382935248817</v>
      </c>
      <c r="AQ28" s="31">
        <f ca="1"/>
        <v>-45251.510073320234</v>
      </c>
      <c r="AR28" s="31">
        <v>0.24000000000000021</v>
      </c>
      <c r="AT28" s="31">
        <f ca="1"/>
        <v>-27327.414362409669</v>
      </c>
      <c r="AU28" s="31">
        <v>9.120000000000001</v>
      </c>
    </row>
    <row r="29" spans="9:47" ht="20.25" customHeight="1">
      <c r="J29" s="33" t="s">
        <v>207</v>
      </c>
      <c r="K29" s="32">
        <f>'C1'!E10</f>
        <v>0.18566633997122894</v>
      </c>
      <c r="Z29" s="33" t="s">
        <v>338</v>
      </c>
      <c r="AA29" s="31" cm="1">
        <f t="array" aca="1" ref="AA29" ca="1">_xlfn.LET(
    _xlpm._coefficient, TRANSPOSE(AA17:AA21),
    _xlpm._N, AA25,
    SUM(_xlpm._coefficient * _xlfn.HSTACK(_xlpm._N ^ {4,3,2,1}, 1))
)</f>
        <v>161525.72387364745</v>
      </c>
      <c r="AQ29" s="31">
        <f ca="1"/>
        <v>-42761.284644007741</v>
      </c>
      <c r="AR29" s="31">
        <v>0.71999999999999886</v>
      </c>
      <c r="AT29" s="31">
        <f ca="1"/>
        <v>-27461.324498270413</v>
      </c>
      <c r="AU29" s="31">
        <v>9.36</v>
      </c>
    </row>
    <row r="30" spans="9:47" ht="20.25" customHeight="1">
      <c r="J30" s="33" t="s">
        <v>203</v>
      </c>
      <c r="K30" s="32">
        <f>'C1'!E11</f>
        <v>5.3703258323470777</v>
      </c>
      <c r="Z30" s="33" t="s">
        <v>275</v>
      </c>
      <c r="AA30" s="31" t="b">
        <f ca="1">_xlfn.LET(
    _xlpm._f_N_min, AA28,
    _xlpm._f_N_max, AA29,
    _xlpm._f_N_min * _xlpm._f_N_max &gt;= 0
)</f>
        <v>0</v>
      </c>
      <c r="AQ30" s="31">
        <f ca="1"/>
        <v>-40470.585073412731</v>
      </c>
      <c r="AR30" s="31">
        <v>1.1999999999999993</v>
      </c>
      <c r="AT30" s="31">
        <f ca="1"/>
        <v>-27611.318161311305</v>
      </c>
      <c r="AU30" s="31">
        <v>9.6</v>
      </c>
    </row>
    <row r="31" spans="9:47" ht="20.25" customHeight="1">
      <c r="Z31" s="33" t="s">
        <v>273</v>
      </c>
      <c r="AA31" s="31" t="b">
        <f ca="1">_xlfn.LET(
    _xlpm._f_N_min, AA28,
    _xlpm._f_N_max, AA29,
    _xlpm._epsilon, K37,
    _xlpm._f_N_min_is_one_of_the_roots, ABS(_xlpm._f_N_min) &lt;= _xlpm._epsilon,
    _xlpm._f_N_max_is_one_of_the_roots, ABS(_xlpm._f_N_max) &lt;= _xlpm._epsilon,
    _xlfn.XOR(
        _xlpm._f_N_min_is_one_of_the_roots,
        _xlpm._f_N_max_is_one_of_the_roots
    )
)</f>
        <v>0</v>
      </c>
      <c r="AQ31" s="31">
        <f ca="1"/>
        <v>-38377.132625431463</v>
      </c>
      <c r="AR31" s="31">
        <v>1.6799999999999997</v>
      </c>
      <c r="AT31" s="31">
        <f ca="1"/>
        <v>-27775.744267282083</v>
      </c>
      <c r="AU31" s="31">
        <v>9.84</v>
      </c>
    </row>
    <row r="32" spans="9:47" ht="20.25" customHeight="1">
      <c r="J32" s="33" t="s">
        <v>176</v>
      </c>
      <c r="K32" s="32" t="b">
        <f>'C1'!E18</f>
        <v>1</v>
      </c>
      <c r="Z32" s="33" t="s">
        <v>270</v>
      </c>
      <c r="AA32" s="31" t="e">
        <f ca="1">_xlfn.LET(
    _xlpm._f_N_min, AA28,
    _xlpm._f_N_max, AA29,
    _xlpm._epsilon, K37,
    _xlpm._f_N_min_is_one_of_the_roots, ABS(_xlpm._f_N_min) &lt;= _xlpm._epsilon,
    _xlpm._f_N_max_is_one_of_the_roots, ABS(_xlpm._f_N_max) &lt;= _xlpm._epsilon,
    IF(
        _xlfn.XOR(
            _xlpm._f_N_min_is_one_of_the_roots,
            _xlpm._f_N_max_is_one_of_the_roots
        ),
        IF(
            _xlpm._f_N_min_is_one_of_the_roots,
            _xlpm._f_N_min,
            IF(_xlpm._f_N_max_is_one_of_the_roots, _xlpm._f_N_max, NA())
        ),
        NA()
    )
)</f>
        <v>#N/A</v>
      </c>
      <c r="AQ32" s="31">
        <f ca="1"/>
        <v>-36478.032792810969</v>
      </c>
      <c r="AR32" s="31">
        <v>2.16</v>
      </c>
      <c r="AT32" s="31">
        <f ca="1"/>
        <v>-27952.913246235687</v>
      </c>
      <c r="AU32" s="31">
        <v>10.08</v>
      </c>
    </row>
    <row r="33" spans="9:47" ht="20.25" customHeight="1">
      <c r="J33" s="33" t="s">
        <v>172</v>
      </c>
      <c r="K33" s="32">
        <f>'C1'!E19</f>
        <v>0.28465364146978933</v>
      </c>
      <c r="L33" s="31" t="s">
        <v>50</v>
      </c>
      <c r="AQ33" s="31">
        <f ca="1"/>
        <v>-34769.775297149135</v>
      </c>
      <c r="AR33" s="31">
        <v>2.6400000000000006</v>
      </c>
      <c r="AT33" s="31">
        <f ca="1"/>
        <v>-28141.097042528236</v>
      </c>
      <c r="AU33" s="31">
        <v>10.32</v>
      </c>
    </row>
    <row r="34" spans="9:47" ht="20.25" customHeight="1">
      <c r="Y34" s="31" t="s">
        <v>268</v>
      </c>
      <c r="AQ34" s="31">
        <f ca="1"/>
        <v>-33248.23408889462</v>
      </c>
      <c r="AR34" s="31">
        <v>3.1199999999999992</v>
      </c>
      <c r="AT34" s="31">
        <f ca="1"/>
        <v>-28338.52911481903</v>
      </c>
      <c r="AU34" s="31">
        <v>10.559999999999999</v>
      </c>
    </row>
    <row r="35" spans="9:47" ht="20.25" customHeight="1">
      <c r="I35" s="31" t="s">
        <v>274</v>
      </c>
      <c r="Z35" s="33" t="s">
        <v>267</v>
      </c>
      <c r="AA35" s="31" t="b">
        <f ca="1">ISNUMBER(AA36)</f>
        <v>1</v>
      </c>
      <c r="AQ35" s="31">
        <f ca="1"/>
        <v>-31908.667347346905</v>
      </c>
      <c r="AR35" s="31">
        <v>3.5999999999999996</v>
      </c>
      <c r="AT35" s="31">
        <f ca="1"/>
        <v>-28543.404436070537</v>
      </c>
      <c r="AU35" s="31">
        <v>10.8</v>
      </c>
    </row>
    <row r="36" spans="9:47" ht="20.25" customHeight="1">
      <c r="J36" s="33" t="s">
        <v>272</v>
      </c>
      <c r="K36" s="32">
        <f>10^3</f>
        <v>1000</v>
      </c>
      <c r="L36" s="31" t="s">
        <v>271</v>
      </c>
      <c r="Z36" s="33" t="s">
        <v>266</v>
      </c>
      <c r="AA36" s="31" cm="1">
        <f t="array" aca="1" ref="AA36" ca="1">_xlfn.LET(
    _xlpm._a4, AA17,
    _xlpm._a3, AA18,
    _xlpm._a2, AA19,
    _xlpm._a1, AA20,
    _xlpm._a0, AA21,
    _xlpm._N_min, AA24,
    _xlpm._N_max, AA25,
    _xlpm._n_iteration_max, K36,
    _xlpm._epsilon, K37,
    _bisection.quartic_equation(
        _xlpm._a4,
        _xlpm._a3,
        _xlpm._a2,
        _xlpm._a1,
        _xlpm._a0,
        _xlpm._N_min,
        _xlpm._N_max,
        _xlpm._n_iteration_max,
        _xlpm._epsilon
    )
)</f>
        <v>22.530391037464142</v>
      </c>
      <c r="AB36" s="31" t="s">
        <v>104</v>
      </c>
      <c r="AQ36" s="31">
        <f ca="1"/>
        <v>-30745.717480656283</v>
      </c>
      <c r="AR36" s="31">
        <v>4.0799999999999983</v>
      </c>
      <c r="AT36" s="31">
        <f ca="1"/>
        <v>-28753.879493548367</v>
      </c>
      <c r="AU36" s="31">
        <v>11.04</v>
      </c>
    </row>
    <row r="37" spans="9:47" ht="20.25" customHeight="1">
      <c r="J37" s="33" t="s">
        <v>269</v>
      </c>
      <c r="K37" s="32">
        <f>10^-3</f>
        <v>1E-3</v>
      </c>
      <c r="AQ37" s="31">
        <f ca="1"/>
        <v>-29753.411125823848</v>
      </c>
      <c r="AR37" s="31">
        <v>4.5599999999999987</v>
      </c>
      <c r="AT37" s="31">
        <f ca="1"/>
        <v>-28968.072288821371</v>
      </c>
      <c r="AU37" s="31">
        <v>11.28</v>
      </c>
    </row>
    <row r="38" spans="9:47" ht="20.25" customHeight="1">
      <c r="AQ38" s="31">
        <f ca="1"/>
        <v>-28925.15914870151</v>
      </c>
      <c r="AR38" s="31">
        <v>5.0399999999999991</v>
      </c>
      <c r="AT38" s="31">
        <f ca="1"/>
        <v>-29184.062337761527</v>
      </c>
      <c r="AU38" s="31">
        <v>11.52</v>
      </c>
    </row>
    <row r="39" spans="9:47" ht="20.25" customHeight="1">
      <c r="AQ39" s="31">
        <f ca="1"/>
        <v>-28253.75664399199</v>
      </c>
      <c r="AR39" s="31">
        <v>5.52</v>
      </c>
      <c r="AT39" s="31">
        <f ca="1"/>
        <v>-29399.890670544002</v>
      </c>
      <c r="AU39" s="31">
        <v>11.76</v>
      </c>
    </row>
    <row r="40" spans="9:47" ht="20.25" customHeight="1">
      <c r="AQ40" s="31">
        <f ca="1"/>
        <v>-27731.382935248817</v>
      </c>
      <c r="AR40" s="31">
        <v>6</v>
      </c>
      <c r="AT40" s="31">
        <f ca="1"/>
        <v>-29613.559831647151</v>
      </c>
      <c r="AU40" s="31">
        <v>12</v>
      </c>
    </row>
    <row r="41" spans="9:47" ht="20.25" customHeight="1">
      <c r="AQ41" s="31">
        <f ca="1"/>
        <v>-27349.601574876317</v>
      </c>
      <c r="AR41" s="31">
        <v>6.48</v>
      </c>
      <c r="AT41" s="31">
        <f ca="1"/>
        <v>-29823.033879852468</v>
      </c>
      <c r="AU41" s="31">
        <v>12.24</v>
      </c>
    </row>
    <row r="42" spans="9:47" ht="20.25" customHeight="1">
      <c r="AQ42" s="31">
        <f ca="1"/>
        <v>-27099.360344129651</v>
      </c>
      <c r="AR42" s="31">
        <v>6.9600000000000009</v>
      </c>
      <c r="AT42" s="31">
        <f ca="1"/>
        <v>-30026.238388244681</v>
      </c>
      <c r="AU42" s="31">
        <v>12.48</v>
      </c>
    </row>
    <row r="43" spans="9:47" ht="20.25" customHeight="1">
      <c r="AQ43" s="31">
        <f ca="1"/>
        <v>-26970.991253114757</v>
      </c>
      <c r="AR43" s="31">
        <v>7.4399999999999977</v>
      </c>
      <c r="AT43" s="31">
        <f ca="1"/>
        <v>-30221.060444211638</v>
      </c>
      <c r="AU43" s="31">
        <v>12.719999999999999</v>
      </c>
    </row>
    <row r="44" spans="9:47" ht="20.25" customHeight="1">
      <c r="AQ44" s="31">
        <f ca="1"/>
        <v>-26954.210540788408</v>
      </c>
      <c r="AR44" s="31">
        <v>7.9200000000000017</v>
      </c>
      <c r="AT44" s="31">
        <f ca="1"/>
        <v>-30405.348649444401</v>
      </c>
      <c r="AU44" s="31">
        <v>12.96</v>
      </c>
    </row>
    <row r="45" spans="9:47" ht="20.25" customHeight="1">
      <c r="AQ45" s="31">
        <f ca="1"/>
        <v>-27038.118674958183</v>
      </c>
      <c r="AR45" s="31">
        <v>8.3999999999999986</v>
      </c>
      <c r="AT45" s="31">
        <f ca="1"/>
        <v>-30576.913119937177</v>
      </c>
      <c r="AU45" s="31">
        <v>13.2</v>
      </c>
    </row>
    <row r="46" spans="9:47" ht="20.25" customHeight="1">
      <c r="AQ46" s="31">
        <f ca="1"/>
        <v>-27211.200352282456</v>
      </c>
      <c r="AR46" s="31">
        <v>8.879999999999999</v>
      </c>
      <c r="AT46" s="31">
        <f ca="1"/>
        <v>-30733.525485987375</v>
      </c>
      <c r="AU46" s="31">
        <v>13.44</v>
      </c>
    </row>
    <row r="47" spans="9:47" ht="20.25" customHeight="1">
      <c r="AQ47" s="31">
        <f ca="1"/>
        <v>-27461.324498270413</v>
      </c>
      <c r="AR47" s="31">
        <v>9.36</v>
      </c>
      <c r="AT47" s="31">
        <f ca="1"/>
        <v>-30872.918892195543</v>
      </c>
      <c r="AU47" s="31">
        <v>13.68</v>
      </c>
    </row>
    <row r="48" spans="9:47" ht="20.25" customHeight="1">
      <c r="AQ48" s="31">
        <f ca="1"/>
        <v>-27775.744267282083</v>
      </c>
      <c r="AR48" s="31">
        <v>9.84</v>
      </c>
      <c r="AT48" s="31">
        <f ca="1"/>
        <v>-30992.787997465457</v>
      </c>
      <c r="AU48" s="31">
        <v>13.92</v>
      </c>
    </row>
    <row r="49" spans="43:47" ht="20.25" customHeight="1">
      <c r="AQ49" s="31">
        <f ca="1"/>
        <v>-28141.097042528236</v>
      </c>
      <c r="AR49" s="31">
        <v>10.32</v>
      </c>
      <c r="AT49" s="31">
        <f ca="1"/>
        <v>-31090.788975004056</v>
      </c>
      <c r="AU49" s="31">
        <v>14.16</v>
      </c>
    </row>
    <row r="50" spans="43:47" ht="20.25" customHeight="1">
      <c r="AQ50" s="31">
        <f ca="1"/>
        <v>-28543.404436070537</v>
      </c>
      <c r="AR50" s="31">
        <v>10.8</v>
      </c>
      <c r="AT50" s="31">
        <f ca="1"/>
        <v>-31164.539512321382</v>
      </c>
      <c r="AU50" s="31">
        <v>14.4</v>
      </c>
    </row>
    <row r="51" spans="43:47" ht="20.25" customHeight="1">
      <c r="AQ51" s="31">
        <f ca="1"/>
        <v>-28968.072288821371</v>
      </c>
      <c r="AR51" s="31">
        <v>11.280000000000001</v>
      </c>
      <c r="AT51" s="31">
        <f ca="1"/>
        <v>-31211.61881123075</v>
      </c>
      <c r="AU51" s="31">
        <v>14.64</v>
      </c>
    </row>
    <row r="52" spans="43:47" ht="20.25" customHeight="1">
      <c r="AQ52" s="31">
        <f ca="1"/>
        <v>-29399.890670544009</v>
      </c>
      <c r="AR52" s="31">
        <v>11.759999999999998</v>
      </c>
      <c r="AT52" s="31">
        <f ca="1"/>
        <v>-31229.567587848614</v>
      </c>
      <c r="AU52" s="31">
        <v>14.879999999999999</v>
      </c>
    </row>
    <row r="53" spans="43:47" ht="20.25" customHeight="1">
      <c r="AQ53" s="31">
        <f ca="1"/>
        <v>-29823.03387985249</v>
      </c>
      <c r="AR53" s="31">
        <v>12.239999999999998</v>
      </c>
      <c r="AT53" s="31">
        <f ca="1"/>
        <v>-31215.888072594571</v>
      </c>
      <c r="AU53" s="31">
        <v>15.12</v>
      </c>
    </row>
    <row r="54" spans="43:47" ht="20.25" customHeight="1">
      <c r="AQ54" s="31">
        <f ca="1"/>
        <v>-30221.060444211638</v>
      </c>
      <c r="AR54" s="31">
        <v>12.719999999999999</v>
      </c>
      <c r="AT54" s="31">
        <f ca="1"/>
        <v>-31168.044010191465</v>
      </c>
      <c r="AU54" s="31">
        <v>15.36</v>
      </c>
    </row>
    <row r="55" spans="43:47" ht="20.25" customHeight="1">
      <c r="AQ55" s="31">
        <f ca="1"/>
        <v>-30576.913119937177</v>
      </c>
      <c r="AR55" s="31">
        <v>13.2</v>
      </c>
      <c r="AT55" s="31">
        <f ca="1"/>
        <v>-31083.460659665237</v>
      </c>
      <c r="AU55" s="31">
        <v>15.6</v>
      </c>
    </row>
    <row r="56" spans="43:47" ht="20.25" customHeight="1">
      <c r="AQ56" s="31">
        <f ca="1"/>
        <v>-30872.918892195543</v>
      </c>
      <c r="AR56" s="31">
        <v>13.68</v>
      </c>
      <c r="AT56" s="31">
        <f ca="1"/>
        <v>-30959.524794345059</v>
      </c>
      <c r="AU56" s="31">
        <v>15.84</v>
      </c>
    </row>
    <row r="57" spans="43:47" ht="20.25" customHeight="1">
      <c r="AQ57" s="31">
        <f ca="1"/>
        <v>-31090.788975004056</v>
      </c>
      <c r="AR57" s="31">
        <v>14.16</v>
      </c>
      <c r="AT57" s="31">
        <f ca="1"/>
        <v>-30793.584701863256</v>
      </c>
      <c r="AU57" s="31">
        <v>16.079999999999998</v>
      </c>
    </row>
    <row r="58" spans="43:47" ht="20.25" customHeight="1">
      <c r="AQ58" s="31">
        <f ca="1"/>
        <v>-31211.61881123075</v>
      </c>
      <c r="AR58" s="31">
        <v>14.64</v>
      </c>
      <c r="AT58" s="31">
        <f ca="1"/>
        <v>-30582.950184155336</v>
      </c>
      <c r="AU58" s="31">
        <v>16.32</v>
      </c>
    </row>
    <row r="59" spans="43:47" ht="20.25" customHeight="1">
      <c r="AQ59" s="31">
        <f ca="1"/>
        <v>-31215.888072594586</v>
      </c>
      <c r="AR59" s="31">
        <v>15.119999999999997</v>
      </c>
      <c r="AT59" s="31">
        <f ca="1"/>
        <v>-30324.892557459949</v>
      </c>
      <c r="AU59" s="31">
        <v>16.559999999999999</v>
      </c>
    </row>
    <row r="60" spans="43:47" ht="20.25" customHeight="1">
      <c r="AQ60" s="31">
        <f ca="1"/>
        <v>-31083.460659665237</v>
      </c>
      <c r="AR60" s="31">
        <v>15.599999999999998</v>
      </c>
      <c r="AT60" s="31">
        <f ca="1"/>
        <v>-30016.644652319002</v>
      </c>
      <c r="AU60" s="31">
        <v>16.799999999999997</v>
      </c>
    </row>
    <row r="61" spans="43:47" ht="20.25" customHeight="1">
      <c r="AQ61" s="31">
        <f ca="1"/>
        <v>-30793.584701863256</v>
      </c>
      <c r="AR61" s="31">
        <v>16.079999999999998</v>
      </c>
      <c r="AT61" s="31">
        <f ca="1"/>
        <v>-29655.400813577486</v>
      </c>
      <c r="AU61" s="31">
        <v>17.04</v>
      </c>
    </row>
    <row r="62" spans="43:47" ht="20.25" customHeight="1">
      <c r="AQ62" s="31">
        <f ca="1"/>
        <v>-30324.892557459949</v>
      </c>
      <c r="AR62" s="31">
        <v>16.559999999999999</v>
      </c>
      <c r="AT62" s="31">
        <f ca="1"/>
        <v>-29238.316900383616</v>
      </c>
      <c r="AU62" s="31">
        <v>17.28</v>
      </c>
    </row>
    <row r="63" spans="43:47" ht="20.25" customHeight="1">
      <c r="AQ63" s="31">
        <f ca="1"/>
        <v>-29655.400813577486</v>
      </c>
      <c r="AR63" s="31">
        <v>17.04</v>
      </c>
      <c r="AT63" s="31">
        <f ca="1"/>
        <v>-28762.510286188794</v>
      </c>
      <c r="AU63" s="31">
        <v>17.52</v>
      </c>
    </row>
    <row r="64" spans="43:47" ht="20.25" customHeight="1">
      <c r="AQ64" s="31">
        <f ca="1"/>
        <v>-28762.510286188794</v>
      </c>
      <c r="AR64" s="31">
        <v>17.52</v>
      </c>
      <c r="AT64" s="31">
        <f ca="1"/>
        <v>-28225.059858747562</v>
      </c>
      <c r="AU64" s="31">
        <v>17.759999999999998</v>
      </c>
    </row>
    <row r="65" spans="43:47" ht="20.25" customHeight="1">
      <c r="AQ65" s="31">
        <f ca="1"/>
        <v>-27623.006020117631</v>
      </c>
      <c r="AR65" s="31">
        <v>18</v>
      </c>
      <c r="AT65" s="31">
        <f ca="1"/>
        <v>-27623.006020117631</v>
      </c>
      <c r="AU65" s="31">
        <v>18</v>
      </c>
    </row>
    <row r="66" spans="43:47" ht="20.25" customHeight="1">
      <c r="AQ66" s="31">
        <f ca="1"/>
        <v>-26213.057289038574</v>
      </c>
      <c r="AR66" s="31">
        <v>18.48</v>
      </c>
      <c r="AT66" s="31">
        <f ca="1"/>
        <v>-26953.350686659942</v>
      </c>
      <c r="AU66" s="31">
        <v>18.240000000000002</v>
      </c>
    </row>
    <row r="67" spans="43:47" ht="20.25" customHeight="1">
      <c r="AQ67" s="31">
        <f ca="1"/>
        <v>-24508.217595477014</v>
      </c>
      <c r="AR67" s="31">
        <v>18.96</v>
      </c>
      <c r="AT67" s="31">
        <f ca="1"/>
        <v>-26213.057289038574</v>
      </c>
      <c r="AU67" s="31">
        <v>18.48</v>
      </c>
    </row>
    <row r="68" spans="43:47" ht="20.25" customHeight="1">
      <c r="AQ68" s="31">
        <f ca="1"/>
        <v>-22483.424670809101</v>
      </c>
      <c r="AR68" s="31">
        <v>19.439999999999998</v>
      </c>
      <c r="AT68" s="31">
        <f ca="1"/>
        <v>-25399.050772220762</v>
      </c>
      <c r="AU68" s="31">
        <v>18.72</v>
      </c>
    </row>
    <row r="69" spans="43:47" ht="20.25" customHeight="1">
      <c r="AQ69" s="31">
        <f ca="1"/>
        <v>-20113.000475261877</v>
      </c>
      <c r="AR69" s="31">
        <v>19.919999999999998</v>
      </c>
      <c r="AT69" s="31">
        <f ca="1"/>
        <v>-24508.217595477014</v>
      </c>
      <c r="AU69" s="31">
        <v>18.96</v>
      </c>
    </row>
    <row r="70" spans="43:47" ht="20.25" customHeight="1">
      <c r="AQ70" s="31">
        <f ca="1"/>
        <v>-17370.651197913081</v>
      </c>
      <c r="AR70" s="31">
        <v>20.399999999999999</v>
      </c>
      <c r="AT70" s="31">
        <f ca="1"/>
        <v>-23537.405732380845</v>
      </c>
      <c r="AU70" s="31">
        <v>19.2</v>
      </c>
    </row>
    <row r="71" spans="43:47" ht="20.25" customHeight="1">
      <c r="AQ71" s="31">
        <f ca="1"/>
        <v>-14229.467256691401</v>
      </c>
      <c r="AR71" s="31">
        <v>20.879999999999995</v>
      </c>
      <c r="AT71" s="31">
        <f ca="1"/>
        <v>-22483.424670809101</v>
      </c>
      <c r="AU71" s="31">
        <v>19.439999999999998</v>
      </c>
    </row>
    <row r="72" spans="43:47" ht="20.25" customHeight="1">
      <c r="AQ72" s="31">
        <f ca="1"/>
        <v>-10661.923298376198</v>
      </c>
      <c r="AR72" s="31">
        <v>21.36</v>
      </c>
      <c r="AT72" s="31">
        <f ca="1"/>
        <v>-21343.045412941727</v>
      </c>
      <c r="AU72" s="31">
        <v>19.68</v>
      </c>
    </row>
    <row r="73" spans="43:47" ht="20.25" customHeight="1">
      <c r="AQ73" s="31">
        <f ca="1"/>
        <v>-6639.8781985977039</v>
      </c>
      <c r="AR73" s="31">
        <v>21.840000000000003</v>
      </c>
      <c r="AT73" s="31">
        <f ca="1"/>
        <v>-20113.000475261819</v>
      </c>
      <c r="AU73" s="31">
        <v>19.920000000000002</v>
      </c>
    </row>
    <row r="74" spans="43:47" ht="20.25" customHeight="1">
      <c r="AQ74" s="31">
        <f ca="1"/>
        <v>-2134.5750618371167</v>
      </c>
      <c r="AR74" s="31">
        <v>22.32</v>
      </c>
      <c r="AT74" s="31">
        <f ca="1"/>
        <v>-18789.98388855582</v>
      </c>
      <c r="AU74" s="31">
        <v>20.16</v>
      </c>
    </row>
    <row r="75" spans="43:47" ht="20.25" customHeight="1">
      <c r="AQ75" s="31">
        <f ca="1"/>
        <v>2883.3587785739001</v>
      </c>
      <c r="AR75" s="31">
        <v>22.799999999999997</v>
      </c>
      <c r="AT75" s="31">
        <f ca="1"/>
        <v>-17370.651197913081</v>
      </c>
      <c r="AU75" s="31">
        <v>20.399999999999999</v>
      </c>
    </row>
    <row r="76" spans="43:47" ht="20.25" customHeight="1">
      <c r="AQ76" s="31">
        <f ca="1"/>
        <v>8443.9117604526618</v>
      </c>
      <c r="AR76" s="31">
        <v>23.28</v>
      </c>
      <c r="AT76" s="31">
        <f ca="1"/>
        <v>-15851.619462726296</v>
      </c>
      <c r="AU76" s="31">
        <v>20.64</v>
      </c>
    </row>
    <row r="77" spans="43:47" ht="20.25" customHeight="1">
      <c r="AQ77" s="31">
        <f ca="1"/>
        <v>14577.688092765595</v>
      </c>
      <c r="AR77" s="31">
        <v>23.759999999999998</v>
      </c>
      <c r="AT77" s="31">
        <f ca="1"/>
        <v>-14229.467256691387</v>
      </c>
      <c r="AU77" s="31">
        <v>20.88</v>
      </c>
    </row>
    <row r="78" spans="43:47" ht="20.25" customHeight="1">
      <c r="AQ78" s="31">
        <f ca="1"/>
        <v>21315.907755628454</v>
      </c>
      <c r="AR78" s="31">
        <v>24.239999999999995</v>
      </c>
      <c r="AT78" s="31">
        <f ca="1"/>
        <v>-12500.734667807301</v>
      </c>
      <c r="AU78" s="31">
        <v>21.119999999999997</v>
      </c>
    </row>
    <row r="79" spans="43:47" ht="20.25" customHeight="1">
      <c r="AQ79" s="31">
        <f ca="1"/>
        <v>28690.406500306322</v>
      </c>
      <c r="AR79" s="31">
        <v>24.72</v>
      </c>
      <c r="AT79" s="31">
        <f ca="1"/>
        <v>-10661.923298376198</v>
      </c>
      <c r="AU79" s="31">
        <v>21.36</v>
      </c>
    </row>
    <row r="80" spans="43:47" ht="20.25" customHeight="1">
      <c r="AQ80" s="31">
        <f ca="1"/>
        <v>36733.635849213104</v>
      </c>
      <c r="AR80" s="31">
        <v>25.200000000000003</v>
      </c>
      <c r="AT80" s="31">
        <f ca="1"/>
        <v>-8709.4962650035086</v>
      </c>
      <c r="AU80" s="31">
        <v>21.6</v>
      </c>
    </row>
    <row r="81" spans="43:47" ht="20.25" customHeight="1">
      <c r="AQ81" s="31">
        <f ca="1"/>
        <v>45478.663095912074</v>
      </c>
      <c r="AR81" s="31">
        <v>25.68</v>
      </c>
      <c r="AT81" s="31">
        <f ca="1"/>
        <v>-6639.8781985977766</v>
      </c>
      <c r="AU81" s="31">
        <v>21.84</v>
      </c>
    </row>
    <row r="82" spans="43:47" ht="20.25" customHeight="1">
      <c r="AQ82" s="31">
        <f ca="1"/>
        <v>54959.171305115735</v>
      </c>
      <c r="AR82" s="31">
        <v>26.159999999999997</v>
      </c>
      <c r="AT82" s="31">
        <f ca="1"/>
        <v>-4449.4552443706561</v>
      </c>
      <c r="AU82" s="31">
        <v>22.08</v>
      </c>
    </row>
    <row r="83" spans="43:47" ht="20.25" customHeight="1">
      <c r="AQ83" s="31">
        <f ca="1"/>
        <v>65209.45931268602</v>
      </c>
      <c r="AR83" s="31">
        <v>26.64</v>
      </c>
      <c r="AT83" s="31">
        <f ca="1"/>
        <v>-2134.5750618371167</v>
      </c>
      <c r="AU83" s="31">
        <v>22.32</v>
      </c>
    </row>
    <row r="84" spans="43:47" ht="20.25" customHeight="1">
      <c r="AQ84" s="31">
        <f ca="1"/>
        <v>76264.44172563334</v>
      </c>
      <c r="AR84" s="31">
        <v>27.119999999999997</v>
      </c>
      <c r="AT84" s="31">
        <f ca="1"/>
        <v>308.45317518484808</v>
      </c>
      <c r="AU84" s="31">
        <v>22.56</v>
      </c>
    </row>
    <row r="85" spans="43:47" ht="20.25" customHeight="1">
      <c r="AQ85" s="31">
        <f ca="1"/>
        <v>88159.648922118242</v>
      </c>
      <c r="AR85" s="31">
        <v>27.6</v>
      </c>
      <c r="AT85" s="31">
        <f ca="1"/>
        <v>2883.3587785739292</v>
      </c>
      <c r="AU85" s="31">
        <v>22.8</v>
      </c>
    </row>
    <row r="86" spans="43:47" ht="20.25" customHeight="1">
      <c r="AQ86" s="31">
        <f ca="1"/>
        <v>100931.22705144953</v>
      </c>
      <c r="AR86" s="31">
        <v>28.08</v>
      </c>
      <c r="AT86" s="31">
        <f ca="1"/>
        <v>5593.9095459057207</v>
      </c>
      <c r="AU86" s="31">
        <v>23.04</v>
      </c>
    </row>
    <row r="87" spans="43:47" ht="20.25" customHeight="1">
      <c r="AQ87" s="31">
        <f ca="1"/>
        <v>114615.93803408599</v>
      </c>
      <c r="AR87" s="31">
        <v>28.560000000000002</v>
      </c>
      <c r="AT87" s="31">
        <f ca="1"/>
        <v>8443.9117604526618</v>
      </c>
      <c r="AU87" s="31">
        <v>23.28</v>
      </c>
    </row>
    <row r="88" spans="43:47" ht="20.25" customHeight="1">
      <c r="AQ88" s="31">
        <f ca="1"/>
        <v>129251.15956163502</v>
      </c>
      <c r="AR88" s="31">
        <v>29.04</v>
      </c>
      <c r="AT88" s="31">
        <f ca="1"/>
        <v>11437.21019118392</v>
      </c>
      <c r="AU88" s="31">
        <v>23.52</v>
      </c>
    </row>
    <row r="89" spans="43:47" ht="20.25" customHeight="1">
      <c r="AQ89" s="31">
        <f ca="1"/>
        <v>144874.88509685334</v>
      </c>
      <c r="AR89" s="31">
        <v>29.519999999999996</v>
      </c>
      <c r="AT89" s="31">
        <f ca="1"/>
        <v>14577.688092765595</v>
      </c>
      <c r="AU89" s="31">
        <v>23.759999999999998</v>
      </c>
    </row>
    <row r="90" spans="43:47" ht="20.25" customHeight="1">
      <c r="AQ90" s="31">
        <f ca="1"/>
        <v>161525.72387364745</v>
      </c>
      <c r="AR90" s="31">
        <v>30</v>
      </c>
      <c r="AT90" s="31">
        <f ca="1"/>
        <v>17869.267205560573</v>
      </c>
      <c r="AU90" s="31">
        <v>24</v>
      </c>
    </row>
    <row r="91" spans="43:47" ht="20.25" customHeight="1">
      <c r="AQ91" s="31">
        <f ca="1"/>
        <v>179242.90089707193</v>
      </c>
      <c r="AR91" s="31">
        <v>30.479999999999997</v>
      </c>
      <c r="AT91" s="31">
        <f ca="1"/>
        <v>21315.907755628483</v>
      </c>
      <c r="AU91" s="31">
        <v>24.24</v>
      </c>
    </row>
    <row r="92" spans="43:47" ht="20.25" customHeight="1">
      <c r="AQ92" s="31">
        <f ca="1"/>
        <v>198066.25694333177</v>
      </c>
      <c r="AR92" s="31">
        <v>30.96</v>
      </c>
      <c r="AT92" s="31">
        <f ca="1"/>
        <v>24921.608454726047</v>
      </c>
      <c r="AU92" s="31">
        <v>24.48</v>
      </c>
    </row>
    <row r="93" spans="43:47" ht="20.25" customHeight="1">
      <c r="AQ93" s="31">
        <f ca="1"/>
        <v>218036.24855978001</v>
      </c>
      <c r="AR93" s="31">
        <v>31.439999999999998</v>
      </c>
      <c r="AT93" s="31">
        <f ca="1"/>
        <v>28690.406500306322</v>
      </c>
      <c r="AU93" s="31">
        <v>24.72</v>
      </c>
    </row>
    <row r="94" spans="43:47" ht="20.25" customHeight="1">
      <c r="AQ94" s="31">
        <f ca="1"/>
        <v>239193.94806492009</v>
      </c>
      <c r="AR94" s="31">
        <v>31.92</v>
      </c>
      <c r="AT94" s="31">
        <f ca="1"/>
        <v>32626.377575519662</v>
      </c>
      <c r="AU94" s="31">
        <v>24.96</v>
      </c>
    </row>
    <row r="95" spans="43:47" ht="20.25" customHeight="1">
      <c r="AQ95" s="31">
        <f ca="1"/>
        <v>261581.04354840302</v>
      </c>
      <c r="AR95" s="31">
        <v>32.4</v>
      </c>
      <c r="AT95" s="31">
        <f ca="1"/>
        <v>36733.635849213046</v>
      </c>
      <c r="AU95" s="31">
        <v>25.2</v>
      </c>
    </row>
    <row r="96" spans="43:47" ht="20.25" customHeight="1">
      <c r="AQ96" s="31">
        <f ca="1"/>
        <v>285239.83887103049</v>
      </c>
      <c r="AR96" s="31">
        <v>32.879999999999995</v>
      </c>
      <c r="AT96" s="31">
        <f ca="1"/>
        <v>41016.333975930254</v>
      </c>
      <c r="AU96" s="31">
        <v>25.439999999999998</v>
      </c>
    </row>
    <row r="97" spans="43:47" ht="20.25" customHeight="1">
      <c r="AQ97" s="31">
        <f ca="1"/>
        <v>310213.25366475323</v>
      </c>
      <c r="AR97" s="31">
        <v>33.36</v>
      </c>
      <c r="AT97" s="31">
        <f ca="1"/>
        <v>45478.663095912074</v>
      </c>
      <c r="AU97" s="31">
        <v>25.68</v>
      </c>
    </row>
    <row r="98" spans="43:47" ht="20.25" customHeight="1">
      <c r="AQ98" s="31">
        <f ca="1"/>
        <v>336544.82333267032</v>
      </c>
      <c r="AR98" s="31">
        <v>33.839999999999996</v>
      </c>
      <c r="AT98" s="31">
        <f ca="1"/>
        <v>50124.852835095771</v>
      </c>
      <c r="AU98" s="31">
        <v>25.919999999999998</v>
      </c>
    </row>
    <row r="99" spans="43:47" ht="20.25" customHeight="1">
      <c r="AQ99" s="31">
        <f ca="1"/>
        <v>364278.69904903049</v>
      </c>
      <c r="AR99" s="31">
        <v>34.32</v>
      </c>
      <c r="AT99" s="31">
        <f ca="1"/>
        <v>54959.171305115764</v>
      </c>
      <c r="AU99" s="31">
        <v>26.16</v>
      </c>
    </row>
    <row r="100" spans="43:47" ht="20.25" customHeight="1">
      <c r="AQ100" s="31">
        <f ca="1"/>
        <v>393459.64775923133</v>
      </c>
      <c r="AR100" s="31">
        <v>34.799999999999997</v>
      </c>
      <c r="AT100" s="31">
        <f ca="1"/>
        <v>59985.925103303183</v>
      </c>
      <c r="AU100" s="31">
        <v>26.4</v>
      </c>
    </row>
    <row r="101" spans="43:47" ht="20.25" customHeight="1">
      <c r="AQ101" s="31">
        <f ca="1"/>
        <v>424133.05217982089</v>
      </c>
      <c r="AR101" s="31">
        <v>35.28</v>
      </c>
      <c r="AT101" s="31">
        <f ca="1"/>
        <v>65209.45931268602</v>
      </c>
      <c r="AU101" s="31">
        <v>26.64</v>
      </c>
    </row>
    <row r="102" spans="43:47" ht="20.25" customHeight="1">
      <c r="AQ102" s="31">
        <f ca="1"/>
        <v>456344.91079849459</v>
      </c>
      <c r="AR102" s="31">
        <v>35.76</v>
      </c>
      <c r="AT102" s="31">
        <f ca="1"/>
        <v>70634.157501988782</v>
      </c>
      <c r="AU102" s="31">
        <v>26.88</v>
      </c>
    </row>
    <row r="103" spans="43:47" ht="20.25" customHeight="1">
      <c r="AQ103" s="31">
        <f ca="1"/>
        <v>490141.83787409816</v>
      </c>
      <c r="AR103" s="31">
        <v>36.239999999999995</v>
      </c>
      <c r="AT103" s="31">
        <f ca="1"/>
        <v>76264.44172563334</v>
      </c>
      <c r="AU103" s="31">
        <v>27.119999999999997</v>
      </c>
    </row>
    <row r="104" spans="43:47" ht="20.25" customHeight="1">
      <c r="AQ104" s="31">
        <f ca="1"/>
        <v>525571.06343662669</v>
      </c>
      <c r="AR104" s="31">
        <v>36.72</v>
      </c>
      <c r="AT104" s="31">
        <f ca="1"/>
        <v>82104.772523738153</v>
      </c>
      <c r="AU104" s="31">
        <v>27.36</v>
      </c>
    </row>
    <row r="105" spans="43:47" ht="20.25" customHeight="1">
      <c r="AQ105" s="31">
        <f ca="1"/>
        <v>562680.43328722334</v>
      </c>
      <c r="AR105" s="31">
        <v>37.199999999999996</v>
      </c>
      <c r="AT105" s="31">
        <f ca="1"/>
        <v>88159.648922118096</v>
      </c>
      <c r="AU105" s="31">
        <v>27.599999999999998</v>
      </c>
    </row>
    <row r="106" spans="43:47" ht="20.25" customHeight="1">
      <c r="AQ106" s="31">
        <f ca="1"/>
        <v>601518.40899818216</v>
      </c>
      <c r="AR106" s="31">
        <v>37.68</v>
      </c>
      <c r="AT106" s="31">
        <f ca="1"/>
        <v>94433.60843228575</v>
      </c>
      <c r="AU106" s="31">
        <v>27.84</v>
      </c>
    </row>
    <row r="107" spans="43:47" ht="20.25" customHeight="1">
      <c r="AQ107" s="31">
        <f ca="1"/>
        <v>642134.06791294401</v>
      </c>
      <c r="AR107" s="31">
        <v>38.159999999999997</v>
      </c>
      <c r="AT107" s="31">
        <f ca="1"/>
        <v>100931.22705144953</v>
      </c>
      <c r="AU107" s="31">
        <v>28.08</v>
      </c>
    </row>
    <row r="108" spans="43:47" ht="20.25" customHeight="1">
      <c r="AQ108" s="31">
        <f ca="1"/>
        <v>684577.10314610193</v>
      </c>
      <c r="AR108" s="31">
        <v>38.64</v>
      </c>
      <c r="AT108" s="31">
        <f ca="1"/>
        <v>107657.11926251548</v>
      </c>
      <c r="AU108" s="31">
        <v>28.32</v>
      </c>
    </row>
    <row r="109" spans="43:47" ht="20.25" customHeight="1">
      <c r="AQ109" s="31">
        <f ca="1"/>
        <v>728897.82358339487</v>
      </c>
      <c r="AR109" s="31">
        <v>39.119999999999997</v>
      </c>
      <c r="AT109" s="31">
        <f ca="1"/>
        <v>114615.93803408596</v>
      </c>
      <c r="AU109" s="31">
        <v>28.56</v>
      </c>
    </row>
    <row r="110" spans="43:47" ht="20.25" customHeight="1">
      <c r="AQ110" s="31">
        <f ca="1"/>
        <v>775147.15388171445</v>
      </c>
      <c r="AR110" s="31">
        <v>39.6</v>
      </c>
      <c r="AT110" s="31">
        <f ca="1"/>
        <v>121812.37482046039</v>
      </c>
      <c r="AU110" s="31">
        <v>28.8</v>
      </c>
    </row>
    <row r="111" spans="43:47" ht="20.25" customHeight="1">
      <c r="AQ111" s="31">
        <f ca="1"/>
        <v>823376.63446909771</v>
      </c>
      <c r="AR111" s="31">
        <v>40.08</v>
      </c>
      <c r="AT111" s="31">
        <f ca="1"/>
        <v>129251.15956163502</v>
      </c>
      <c r="AU111" s="31">
        <v>29.04</v>
      </c>
    </row>
    <row r="112" spans="43:47" ht="20.25" customHeight="1">
      <c r="AQ112" s="31">
        <f ca="1"/>
        <v>873638.42154473462</v>
      </c>
      <c r="AR112" s="31">
        <v>40.559999999999995</v>
      </c>
      <c r="AT112" s="31">
        <f ca="1"/>
        <v>136937.0606833027</v>
      </c>
      <c r="AU112" s="31">
        <v>29.279999999999998</v>
      </c>
    </row>
    <row r="113" spans="43:47" ht="20.25" customHeight="1">
      <c r="AQ113" s="31">
        <f ca="1"/>
        <v>925985.28707896185</v>
      </c>
      <c r="AR113" s="31">
        <v>41.04</v>
      </c>
      <c r="AT113" s="31">
        <f ca="1"/>
        <v>144874.88509685354</v>
      </c>
      <c r="AU113" s="31">
        <v>29.52</v>
      </c>
    </row>
    <row r="114" spans="43:47" ht="20.25" customHeight="1">
      <c r="AQ114" s="31">
        <f ca="1"/>
        <v>980470.61881326558</v>
      </c>
      <c r="AR114" s="31">
        <v>41.519999999999996</v>
      </c>
      <c r="AT114" s="31">
        <f ca="1"/>
        <v>153069.47819937381</v>
      </c>
      <c r="AU114" s="31">
        <v>29.759999999999998</v>
      </c>
    </row>
    <row r="115" spans="43:47" ht="20.25" customHeight="1">
      <c r="AQ115" s="31">
        <f ca="1"/>
        <v>1037148.4202602826</v>
      </c>
      <c r="AR115" s="31">
        <v>42</v>
      </c>
      <c r="AT115" s="31">
        <f ca="1"/>
        <v>161525.72387364745</v>
      </c>
      <c r="AU115" s="31">
        <v>30</v>
      </c>
    </row>
  </sheetData>
  <sheetProtection algorithmName="SHA-512" hashValue="CxD31kM2E/Z8mdjSYHWT6gHr+WO4aF+hzLhtlipX4FuNIrz/iNH3ZTittTZKTDljWSB3pwruPSuP6odpt+wGZQ==" saltValue="se2mBBwF9nhEBPHWsFBsSg==" spinCount="100000" sheet="1" objects="1" scenarios="1"/>
  <phoneticPr fontId="2"/>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2F584-A27A-4D48-8E7D-034FC3F47E18}">
  <sheetPr codeName="Sheet28">
    <tabColor theme="0" tint="-0.499984740745262"/>
  </sheetPr>
  <dimension ref="A1:AZ115"/>
  <sheetViews>
    <sheetView showGridLines="0" workbookViewId="0"/>
  </sheetViews>
  <sheetFormatPr defaultColWidth="3.375" defaultRowHeight="20.25" customHeight="1"/>
  <cols>
    <col min="1" max="2" width="3.375" style="31"/>
    <col min="3" max="3" width="27.75" style="31" bestFit="1" customWidth="1"/>
    <col min="4" max="4" width="10" style="31" bestFit="1" customWidth="1"/>
    <col min="5" max="5" width="3.75" style="31" bestFit="1" customWidth="1"/>
    <col min="6" max="9" width="3.375" style="31"/>
    <col min="10" max="10" width="38.75" style="31" bestFit="1" customWidth="1"/>
    <col min="11" max="11" width="9.375" style="31" customWidth="1"/>
    <col min="12" max="12" width="5.375" style="31" bestFit="1" customWidth="1"/>
    <col min="13" max="14" width="3.375" style="31"/>
    <col min="15" max="15" width="3.75" style="31" bestFit="1" customWidth="1"/>
    <col min="16" max="16" width="3.75" style="31" customWidth="1"/>
    <col min="17" max="17" width="27.625" style="31" bestFit="1" customWidth="1"/>
    <col min="18" max="18" width="15.875" style="31" customWidth="1"/>
    <col min="19" max="22" width="3.75" style="31" customWidth="1"/>
    <col min="23" max="25" width="3.375" style="31"/>
    <col min="26" max="26" width="21.375" style="31" bestFit="1" customWidth="1"/>
    <col min="27" max="27" width="21" style="31" bestFit="1" customWidth="1"/>
    <col min="28" max="28" width="3.75" style="31" bestFit="1" customWidth="1"/>
    <col min="29" max="42" width="3.375" style="31"/>
    <col min="43" max="44" width="8.125" style="31" customWidth="1"/>
    <col min="45" max="45" width="3.375" style="31" customWidth="1"/>
    <col min="46" max="47" width="8.125" style="31" customWidth="1"/>
    <col min="48" max="49" width="3.375" style="31"/>
    <col min="50" max="50" width="13.125" style="31" bestFit="1" customWidth="1"/>
    <col min="51" max="51" width="13.25" style="31" customWidth="1"/>
    <col min="52" max="52" width="4.25" style="31" bestFit="1" customWidth="1"/>
    <col min="53" max="16384" width="3.375" style="31"/>
  </cols>
  <sheetData>
    <row r="1" spans="1:52" s="40" customFormat="1" ht="20.25" customHeight="1">
      <c r="A1" s="40" t="s">
        <v>509</v>
      </c>
    </row>
    <row r="2" spans="1:52" s="40" customFormat="1" ht="30">
      <c r="B2" s="41" t="str">
        <f ca="1">_xlfn.LET(
    _xlpm._header, "回転数を数値計算で求める",
    _xlpm._numbering, IFERROR(K8,K9),
    _xlpm._header &amp; "（要求条件番号：" &amp; _xlpm._numbering &amp; "）"
)</f>
        <v>回転数を数値計算で求める（要求条件番号：7）</v>
      </c>
    </row>
    <row r="3" spans="1:52" s="39" customFormat="1" ht="7.5" customHeight="1"/>
    <row r="5" spans="1:52" ht="20.25" customHeight="1">
      <c r="B5" s="31" t="s">
        <v>102</v>
      </c>
      <c r="G5" s="31" t="s">
        <v>101</v>
      </c>
      <c r="N5" s="31" t="s">
        <v>303</v>
      </c>
    </row>
    <row r="6" spans="1:52" ht="20.25" customHeight="1">
      <c r="C6" s="31" t="s">
        <v>302</v>
      </c>
      <c r="D6" s="31">
        <f ca="1">AY7</f>
        <v>22.45580792427063</v>
      </c>
      <c r="E6" s="31" t="s">
        <v>104</v>
      </c>
      <c r="H6" s="31" t="s">
        <v>99</v>
      </c>
      <c r="O6" s="31" t="s">
        <v>301</v>
      </c>
      <c r="V6" s="31" t="s">
        <v>300</v>
      </c>
      <c r="AW6" s="31" t="s">
        <v>299</v>
      </c>
    </row>
    <row r="7" spans="1:52" ht="20.25" customHeight="1">
      <c r="I7" s="31" t="s">
        <v>343</v>
      </c>
      <c r="AX7" s="33" t="s">
        <v>266</v>
      </c>
      <c r="AY7" s="31">
        <f ca="1">_xlfn.LET(
    _xlpm._N_bisection, AA36,
    _xlpm._N_initial, AA32,
    _xlpm._initial_values_are_invalid, AA30,
    _xlpm._m_c_is_out_of_range, NOT(R24),
    _xlpm._N_initial_is_one_of_the_roots, AA31,
    _xlpm._converged, AA35,
    IF(
        OR(
            _xlpm._initial_values_are_invalid,
            _xlpm._m_c_is_out_of_range
        ),
        NA(),
        IF(
            _xlpm._N_initial_is_one_of_the_roots,
            _xlpm._N_initial,
            IF(_xlpm._converged, _xlpm._N_bisection, NA())
        )
    )
)</f>
        <v>22.45580792427063</v>
      </c>
      <c r="AZ7" s="31" t="s">
        <v>104</v>
      </c>
    </row>
    <row r="8" spans="1:52" ht="20.25" customHeight="1">
      <c r="J8" s="33" t="s">
        <v>344</v>
      </c>
      <c r="K8" s="53" cm="1">
        <f t="array" aca="1" ref="K8" ca="1">_xlfn.LET(
    _xlpm._name_sheet, _xlfn.TEXTAFTER(
        _xlfn.TAKE(_xlfn.TEXTSPLIT( CELL("filename",A1), , "\"), -1),
        "]"
    ),
   VALUE(_xlfn.TEXTAFTER(_xlpm._name_sheet, "_"))
)</f>
        <v>7</v>
      </c>
    </row>
    <row r="9" spans="1:52" ht="20.25" customHeight="1">
      <c r="J9" s="33" t="s">
        <v>345</v>
      </c>
      <c r="K9" s="32">
        <v>7</v>
      </c>
      <c r="Q9" s="33" t="s">
        <v>295</v>
      </c>
      <c r="R9" s="31">
        <f ca="1">_xlfn.LET(
    _xlpm._m_c, K10,
    _xlpm._rho, K13,
    _xlpm._N_r, K21,
    _xlpm._D, K20,
    _xlpm._m_c * _xlpm._rho ^ -1 * _xlpm._N_r ^ -1 * _xlpm._D ^ -3
)</f>
        <v>2.7546296296296302</v>
      </c>
      <c r="S9" s="31" t="s">
        <v>84</v>
      </c>
    </row>
    <row r="10" spans="1:52" ht="20.25" customHeight="1">
      <c r="J10" s="33" t="s">
        <v>298</v>
      </c>
      <c r="K10" s="32" cm="1">
        <f t="array" aca="1" ref="K10" ca="1">_xlfn.LET(
    _xlpm._m_c,_xlfn.ANCHORARRAY( prm!A5),
    _xlpm._numbering, IFERROR(K8,K9),
    INDEX(_xlpm._m_c, _xlpm._numbering)
)</f>
        <v>2231.25</v>
      </c>
      <c r="L10" s="31" t="s">
        <v>92</v>
      </c>
      <c r="AR10" s="48" t="s">
        <v>210</v>
      </c>
    </row>
    <row r="11" spans="1:52" ht="20.25" customHeight="1">
      <c r="J11" s="33" t="s">
        <v>297</v>
      </c>
      <c r="K11" s="32" cm="1">
        <f t="array" aca="1" ref="K11" ca="1">_xlfn.LET(
    _xlpm._dP_c,_xlfn.ANCHORARRAY( prm!B5),
    _xlpm._numbering, IFERROR(K8,K9),
    INDEX(_xlpm._dP_c, _xlpm._numbering)
)</f>
        <v>168.66399999999999</v>
      </c>
      <c r="L11" s="31" t="s">
        <v>296</v>
      </c>
      <c r="P11" s="31" t="s">
        <v>294</v>
      </c>
      <c r="AR11" s="32">
        <v>1</v>
      </c>
      <c r="AT11" s="31" t="s">
        <v>336</v>
      </c>
    </row>
    <row r="12" spans="1:52" ht="20.25" customHeight="1">
      <c r="I12" s="31" t="s">
        <v>342</v>
      </c>
      <c r="J12" s="33"/>
      <c r="K12" s="33"/>
      <c r="L12" s="33"/>
      <c r="AQ12" s="37" t="s">
        <v>202</v>
      </c>
      <c r="AR12" s="37" t="s">
        <v>201</v>
      </c>
      <c r="AT12" s="37" t="s">
        <v>202</v>
      </c>
      <c r="AU12" s="37" t="s">
        <v>201</v>
      </c>
    </row>
    <row r="13" spans="1:52" ht="20.25" customHeight="1">
      <c r="J13" s="33" t="s">
        <v>115</v>
      </c>
      <c r="K13" s="32">
        <f>10^3</f>
        <v>1000</v>
      </c>
      <c r="L13" s="31" t="s">
        <v>114</v>
      </c>
      <c r="AQ13" s="47" t="s">
        <v>335</v>
      </c>
      <c r="AR13" s="47" t="s">
        <v>334</v>
      </c>
      <c r="AT13" s="47" t="s">
        <v>335</v>
      </c>
      <c r="AU13" s="47" t="s">
        <v>334</v>
      </c>
    </row>
    <row r="14" spans="1:52" ht="20.25" customHeight="1">
      <c r="J14" s="33"/>
      <c r="AQ14" s="35" t="s">
        <v>84</v>
      </c>
      <c r="AR14" s="35" t="s">
        <v>84</v>
      </c>
      <c r="AT14" s="35" t="s">
        <v>84</v>
      </c>
      <c r="AU14" s="35" t="s">
        <v>84</v>
      </c>
    </row>
    <row r="15" spans="1:52" ht="20.25" customHeight="1">
      <c r="I15" s="31" t="s">
        <v>529</v>
      </c>
      <c r="X15" s="31" t="s">
        <v>293</v>
      </c>
      <c r="AQ15" s="31" cm="1">
        <f t="array" aca="1" ref="AQ15:AQ115" ca="1">_xlfn.LET(
    _xlpm._coefficient, TRANSPOSE(AA17:AA21),
    _xlpm._values_N,_xlfn.ANCHORARRAY( AR15),
    _xlfn.MAP(
        _xlpm._values_N,
        _xlfn.LAMBDA(_xlpm._N,
            SUM(
                _xlpm._coefficient *
                    _xlfn.HSTACK(_xlpm._N ^ {4,3,2,1}, 1)
            )
        )
    )
)</f>
        <v>-63472.457033947889</v>
      </c>
      <c r="AR15" s="31" cm="1">
        <f t="array" ref="AR15:AR115">_xlfn.LET(
    _xlpm._number_divisions, 100,
    _xlpm._rate_extrapolation, AR11,
    _xlpm._N0, AA24,
    _xlpm._N1, AA25,
    _xlpm._extrapolation, (_xlpm._N1 - _xlpm._N0) * _xlpm._rate_extrapolation,
    ((_xlpm._N1 - _xlpm._N0) + _xlpm._extrapolation) / _xlpm._number_divisions *
        (_xlfn.SEQUENCE(_xlpm._number_divisions + 1) - 1) + _xlpm._N0 -
        _xlpm._extrapolation / 2
)</f>
        <v>-6</v>
      </c>
      <c r="AT15" s="31" cm="1">
        <f t="array" aca="1" ref="AT15:AT115" ca="1">_xlfn.LET(
    _xlpm._coefficient, TRANSPOSE(AA17:AA21),
    _xlpm._values_N,_xlfn.ANCHORARRAY( AU15),
    _xlfn.MAP(
        _xlpm._values_N,
        _xlfn.LAMBDA(_xlpm._N,
            SUM(
                _xlpm._coefficient *
                    _xlfn.HSTACK(_xlpm._N ^ {4,3,2,1}, 1)
            )
        )
    )
)</f>
        <v>-17800.709783381062</v>
      </c>
      <c r="AU15" s="31" cm="1">
        <f t="array" ref="AU15:AU115">_xlfn.LET(
    _xlpm._number_divisions, 100,
    _xlpm._N0, AA24,
    _xlpm._N1, AA25,
    (_xlpm._N1 - _xlpm._N0) / _xlpm._number_divisions *
        (_xlfn.SEQUENCE(_xlpm._number_divisions + 1) - 1) + _xlpm._N0
)</f>
        <v>6</v>
      </c>
    </row>
    <row r="16" spans="1:52" ht="20.25" customHeight="1">
      <c r="J16" s="33" t="s">
        <v>530</v>
      </c>
      <c r="K16" s="32">
        <f>'C1'!E14</f>
        <v>1.832382785185185E-2</v>
      </c>
      <c r="L16" s="31" t="s">
        <v>5</v>
      </c>
      <c r="Y16" s="31" t="s">
        <v>292</v>
      </c>
      <c r="AQ16" s="31">
        <f ca="1"/>
        <v>-59636.319550104687</v>
      </c>
      <c r="AR16" s="31">
        <v>-5.52</v>
      </c>
      <c r="AT16" s="31">
        <f ca="1"/>
        <v>-17894.97169148556</v>
      </c>
      <c r="AU16" s="31">
        <v>6.24</v>
      </c>
    </row>
    <row r="17" spans="9:47" ht="20.25" customHeight="1">
      <c r="J17" s="33" t="s">
        <v>531</v>
      </c>
      <c r="K17" s="32">
        <f>'C1'!E15</f>
        <v>5.6803866333333337</v>
      </c>
      <c r="L17" s="31" t="s">
        <v>5</v>
      </c>
      <c r="Q17" s="33" t="s">
        <v>291</v>
      </c>
      <c r="R17" s="31">
        <f>_xlfn.LET(
    _xlpm._rho, K13,
    _xlpm._N_r, K21,
    _xlpm._D, K20,
    _xlpm._C_f_p, K33,
    _xlpm._C_f_min_sample, K16,
    _xlpm._local_maximum_exists, K32,
    IF(
        _xlpm._local_maximum_exists,
        _xlpm._C_f_p,
        _xlpm._C_f_min_sample
    )
)</f>
        <v>0.28465364146978933</v>
      </c>
      <c r="S17" s="31" t="s">
        <v>84</v>
      </c>
      <c r="Z17" s="33" t="s">
        <v>290</v>
      </c>
      <c r="AA17" s="31">
        <f>_xlfn.LET(
    _xlpm._alpha_5, K30,
    _xlpm._rho, K13,
    _xlpm._D, K20,
    _xlpm._rho * _xlpm._D ^ 2 * _xlpm._alpha_5 * 10 ^ -3
)</f>
        <v>0.48332932491123698</v>
      </c>
      <c r="AQ17" s="31">
        <f ca="1"/>
        <v>-55948.680940733379</v>
      </c>
      <c r="AR17" s="31">
        <v>-5.04</v>
      </c>
      <c r="AT17" s="31">
        <f ca="1"/>
        <v>-18017.92693661496</v>
      </c>
      <c r="AU17" s="31">
        <v>6.48</v>
      </c>
    </row>
    <row r="18" spans="9:47" ht="20.25" customHeight="1">
      <c r="Z18" s="33" t="s">
        <v>288</v>
      </c>
      <c r="AA18" s="31">
        <f ca="1">_xlfn.LET(
    _xlpm._alpha_4, K29,
    _xlpm._m_c, K10,
    _xlpm._D, K20,
    _xlpm._alpha_4 * _xlpm._m_c * _xlpm._D ^ -1 * 10 ^ -3
)</f>
        <v>1.3808934035360154</v>
      </c>
      <c r="AQ18" s="31">
        <f ca="1"/>
        <v>-52415.398393895361</v>
      </c>
      <c r="AR18" s="31">
        <v>-4.5600000000000005</v>
      </c>
      <c r="AT18" s="31">
        <f ca="1"/>
        <v>-18168.441110980948</v>
      </c>
      <c r="AU18" s="31">
        <v>6.72</v>
      </c>
    </row>
    <row r="19" spans="9:47" ht="20.25" customHeight="1">
      <c r="I19" s="31" t="s">
        <v>112</v>
      </c>
      <c r="J19" s="33"/>
      <c r="Z19" s="33" t="s">
        <v>286</v>
      </c>
      <c r="AA19" s="31">
        <f ca="1">_xlfn.LET(
    _xlpm._alpha_3, K28,
    _xlpm._m_c, K10,
    _xlpm._rho, K13,
    _xlpm._D, K20,
    _xlpm._dP_c, K11,
    _xlpm._alpha_3 * _xlpm._m_c ^ 2 * 10 ^ -3 * _xlpm._rho ^ -1 * _xlpm._D ^ -4 - _xlpm._dP_c
)</f>
        <v>-387.87037393223841</v>
      </c>
      <c r="AQ19" s="31">
        <f ca="1"/>
        <v>-49041.713326502831</v>
      </c>
      <c r="AR19" s="31">
        <v>-4.08</v>
      </c>
      <c r="AT19" s="31">
        <f ca="1"/>
        <v>-18345.341321098396</v>
      </c>
      <c r="AU19" s="31">
        <v>6.96</v>
      </c>
    </row>
    <row r="20" spans="9:47" ht="20.25" customHeight="1">
      <c r="J20" s="33" t="s">
        <v>111</v>
      </c>
      <c r="K20" s="32">
        <v>0.3</v>
      </c>
      <c r="L20" s="31" t="s">
        <v>110</v>
      </c>
      <c r="Z20" s="33" t="s">
        <v>285</v>
      </c>
      <c r="AA20" s="31">
        <f ca="1">_xlfn.LET(
    _xlpm._alpha_2, K27,
    _xlpm._m_c, K10,
    _xlpm._rho, K13,
    _xlpm._D, K20,
    _xlpm._alpha_2 * _xlpm._m_c ^ 3 * 10 ^ -3 * _xlpm._rho ^ -2 * _xlpm._D ^ -7
)</f>
        <v>3756.2667750199384</v>
      </c>
      <c r="AQ20" s="31">
        <f ca="1"/>
        <v>-45832.251384318806</v>
      </c>
      <c r="AR20" s="31">
        <v>-3.5999999999999996</v>
      </c>
      <c r="AT20" s="31">
        <f ca="1"/>
        <v>-18547.416187785351</v>
      </c>
      <c r="AU20" s="31">
        <v>7.2</v>
      </c>
    </row>
    <row r="21" spans="9:47" ht="20.25" customHeight="1">
      <c r="J21" s="33" t="s">
        <v>105</v>
      </c>
      <c r="K21" s="32">
        <f>prm!D5</f>
        <v>30</v>
      </c>
      <c r="L21" s="31" t="s">
        <v>104</v>
      </c>
      <c r="Q21" s="33" t="s">
        <v>283</v>
      </c>
      <c r="R21" s="31">
        <f>K17</f>
        <v>5.6803866333333337</v>
      </c>
      <c r="S21" s="31" t="s">
        <v>84</v>
      </c>
      <c r="Z21" s="33" t="s">
        <v>282</v>
      </c>
      <c r="AA21" s="31">
        <f ca="1">_xlfn.LET(
    _xlpm._alpha_1, K26,
    _xlpm._m_c, K10,
    _xlpm._rho, K13,
    _xlpm._D, K20,
    _xlpm._alpha_1 * _xlpm._m_c ^ 4 * 10 ^ -3 * _xlpm._rho ^ -3 * _xlpm._D ^ -10
)</f>
        <v>-27299.644752188855</v>
      </c>
      <c r="AQ21" s="31">
        <f ca="1"/>
        <v>-42791.022441957117</v>
      </c>
      <c r="AR21" s="31">
        <v>-3.120000000000001</v>
      </c>
      <c r="AT21" s="31">
        <f ca="1"/>
        <v>-18773.415846163014</v>
      </c>
      <c r="AU21" s="31">
        <v>7.4399999999999995</v>
      </c>
    </row>
    <row r="22" spans="9:47" ht="20.25" customHeight="1">
      <c r="J22" s="33" t="s">
        <v>289</v>
      </c>
      <c r="K22" s="32">
        <f>prm!E5</f>
        <v>0.2</v>
      </c>
      <c r="L22" s="31" t="s">
        <v>84</v>
      </c>
      <c r="Z22" s="33"/>
      <c r="AQ22" s="31">
        <f ca="1"/>
        <v>-39921.420602882383</v>
      </c>
      <c r="AR22" s="31">
        <v>-2.6400000000000006</v>
      </c>
      <c r="AT22" s="31">
        <f ca="1"/>
        <v>-19022.051945655789</v>
      </c>
      <c r="AU22" s="31">
        <v>7.68</v>
      </c>
    </row>
    <row r="23" spans="9:47" ht="20.25" customHeight="1">
      <c r="J23" s="33" t="s">
        <v>287</v>
      </c>
      <c r="K23" s="32">
        <f>prm!F5</f>
        <v>1</v>
      </c>
      <c r="L23" s="31" t="s">
        <v>84</v>
      </c>
      <c r="P23" s="31" t="s">
        <v>281</v>
      </c>
      <c r="Y23" s="31" t="s">
        <v>280</v>
      </c>
      <c r="AQ23" s="31">
        <f ca="1"/>
        <v>-37226.22419941004</v>
      </c>
      <c r="AR23" s="31">
        <v>-2.16</v>
      </c>
      <c r="AT23" s="31">
        <f ca="1"/>
        <v>-19291.997649991234</v>
      </c>
      <c r="AU23" s="31">
        <v>7.92</v>
      </c>
    </row>
    <row r="24" spans="9:47" ht="20.25" customHeight="1">
      <c r="Q24" s="33" t="s">
        <v>279</v>
      </c>
      <c r="R24" s="31" t="b">
        <f ca="1">_xlfn.LET(
    _xlpm._C_f_c, R9,
    _xlpm._C_f_min, R17,
    _xlpm._C_f_max, R21,
    AND(_xlpm._C_f_min &lt;= _xlpm._C_f_c, _xlpm._C_f_c &lt;= _xlpm._C_f_max)
)</f>
        <v>1</v>
      </c>
      <c r="Z24" s="33" t="s">
        <v>278</v>
      </c>
      <c r="AA24" s="31">
        <f>_xlfn.LET(
    _xlpm._N_r, K21,
    _xlpm._R_N_min, K22,
    _xlpm._N_r * _xlpm._R_N_min
)</f>
        <v>6</v>
      </c>
      <c r="AB24" s="31" t="s">
        <v>104</v>
      </c>
      <c r="AQ24" s="31">
        <f ca="1"/>
        <v>-34707.59579270635</v>
      </c>
      <c r="AR24" s="31">
        <v>-1.6799999999999997</v>
      </c>
      <c r="AT24" s="31">
        <f ca="1"/>
        <v>-19581.887637200103</v>
      </c>
      <c r="AU24" s="31">
        <v>8.16</v>
      </c>
    </row>
    <row r="25" spans="9:47" ht="20.25" customHeight="1">
      <c r="I25" s="31" t="s">
        <v>284</v>
      </c>
      <c r="Z25" s="33" t="s">
        <v>277</v>
      </c>
      <c r="AA25" s="31">
        <f>_xlfn.LET(
    _xlpm._N_r, K21,
    _xlpm._R_N_max, K23,
    _xlpm._N_r * _xlpm._R_N_max
)</f>
        <v>30</v>
      </c>
      <c r="AB25" s="31" t="s">
        <v>104</v>
      </c>
      <c r="AQ25" s="31">
        <f ca="1"/>
        <v>-32367.082172788374</v>
      </c>
      <c r="AR25" s="31">
        <v>-1.1999999999999993</v>
      </c>
      <c r="AT25" s="31">
        <f ca="1"/>
        <v>-19890.31809961631</v>
      </c>
      <c r="AU25" s="31">
        <v>8.4</v>
      </c>
    </row>
    <row r="26" spans="9:47" ht="20.25" customHeight="1">
      <c r="J26" s="33" t="s">
        <v>235</v>
      </c>
      <c r="K26" s="32">
        <f>'C1'!E7</f>
        <v>-6.5039412408014396E-3</v>
      </c>
      <c r="Z26" s="33"/>
      <c r="AQ26" s="31">
        <f ca="1"/>
        <v>-30205.614358523984</v>
      </c>
      <c r="AR26" s="31">
        <v>-0.72000000000000064</v>
      </c>
      <c r="AT26" s="31">
        <f ca="1"/>
        <v>-20215.846743876951</v>
      </c>
      <c r="AU26" s="31">
        <v>8.64</v>
      </c>
    </row>
    <row r="27" spans="9:47" ht="20.25" customHeight="1">
      <c r="J27" s="33" t="s">
        <v>227</v>
      </c>
      <c r="K27" s="32">
        <f>'C1'!E8</f>
        <v>7.3953802908153773E-2</v>
      </c>
      <c r="Y27" s="31" t="s">
        <v>276</v>
      </c>
      <c r="AQ27" s="31">
        <f ca="1"/>
        <v>-28223.507597631848</v>
      </c>
      <c r="AR27" s="31">
        <v>-0.24000000000000021</v>
      </c>
      <c r="AT27" s="31">
        <f ca="1"/>
        <v>-20556.99279092229</v>
      </c>
      <c r="AU27" s="31">
        <v>8.879999999999999</v>
      </c>
    </row>
    <row r="28" spans="9:47" ht="20.25" customHeight="1">
      <c r="J28" s="33" t="s">
        <v>216</v>
      </c>
      <c r="K28" s="32">
        <f>'C1'!E9</f>
        <v>-0.35664959080564745</v>
      </c>
      <c r="Z28" s="33" t="s">
        <v>337</v>
      </c>
      <c r="AA28" s="31" cm="1">
        <f t="array" aca="1" ref="AA28" ca="1">_xlfn.LET(
    _xlpm._coefficient, TRANSPOSE(AA17:AA21),
    _xlpm._N, AA24,
    SUM(_xlpm._coefficient * _xlfn.HSTACK(_xlpm._N ^ {4,3,2,1}, 1))
)</f>
        <v>-17800.709783381062</v>
      </c>
      <c r="AQ28" s="31">
        <f ca="1"/>
        <v>-26420.461366681455</v>
      </c>
      <c r="AR28" s="31">
        <v>0.24000000000000021</v>
      </c>
      <c r="AT28" s="31">
        <f ca="1"/>
        <v>-20912.236975995791</v>
      </c>
      <c r="AU28" s="31">
        <v>9.120000000000001</v>
      </c>
    </row>
    <row r="29" spans="9:47" ht="20.25" customHeight="1">
      <c r="J29" s="33" t="s">
        <v>207</v>
      </c>
      <c r="K29" s="32">
        <f>'C1'!E10</f>
        <v>0.18566633997122894</v>
      </c>
      <c r="Z29" s="33" t="s">
        <v>338</v>
      </c>
      <c r="AA29" s="31" cm="1">
        <f t="array" aca="1" ref="AA29" ca="1">_xlfn.LET(
    _xlpm._coefficient, TRANSPOSE(AA17:AA21),
    _xlpm._N, AA25,
    SUM(_xlpm._coefficient * _xlfn.HSTACK(_xlpm._N ^ {4,3,2,1}, 1))
)</f>
        <v>165085.89703296908</v>
      </c>
      <c r="AQ29" s="31">
        <f ca="1"/>
        <v>-24795.55937109311</v>
      </c>
      <c r="AR29" s="31">
        <v>0.71999999999999886</v>
      </c>
      <c r="AT29" s="31">
        <f ca="1"/>
        <v>-21280.021548644047</v>
      </c>
      <c r="AU29" s="31">
        <v>9.36</v>
      </c>
    </row>
    <row r="30" spans="9:47" ht="20.25" customHeight="1">
      <c r="J30" s="33" t="s">
        <v>203</v>
      </c>
      <c r="K30" s="32">
        <f>'C1'!E11</f>
        <v>5.3703258323470777</v>
      </c>
      <c r="Z30" s="33" t="s">
        <v>275</v>
      </c>
      <c r="AA30" s="31" t="b">
        <f ca="1">_xlfn.LET(
    _xlpm._f_N_min, AA28,
    _xlpm._f_N_max, AA29,
    _xlpm._f_N_min * _xlpm._f_N_max &gt;= 0
)</f>
        <v>0</v>
      </c>
      <c r="AQ30" s="31">
        <f ca="1"/>
        <v>-23347.269545137908</v>
      </c>
      <c r="AR30" s="31">
        <v>1.1999999999999993</v>
      </c>
      <c r="AT30" s="31">
        <f ca="1"/>
        <v>-21658.750272716887</v>
      </c>
      <c r="AU30" s="31">
        <v>9.6</v>
      </c>
    </row>
    <row r="31" spans="9:47" ht="20.25" customHeight="1">
      <c r="Z31" s="33" t="s">
        <v>273</v>
      </c>
      <c r="AA31" s="31" t="b">
        <f ca="1">_xlfn.LET(
    _xlpm._f_N_min, AA28,
    _xlpm._f_N_max, AA29,
    _xlpm._epsilon, K37,
    _xlpm._f_N_min_is_one_of_the_roots, ABS(_xlpm._f_N_min) &lt;= _xlpm._epsilon,
    _xlpm._f_N_max_is_one_of_the_roots, ABS(_xlpm._f_N_max) &lt;= _xlpm._epsilon,
    _xlfn.XOR(
        _xlpm._f_N_min_is_one_of_the_roots,
        _xlpm._f_N_max_is_one_of_the_roots
    )
)</f>
        <v>0</v>
      </c>
      <c r="AQ31" s="31">
        <f ca="1"/>
        <v>-22073.444051937771</v>
      </c>
      <c r="AR31" s="31">
        <v>1.6799999999999997</v>
      </c>
      <c r="AT31" s="31">
        <f ca="1"/>
        <v>-22046.788426367253</v>
      </c>
      <c r="AU31" s="31">
        <v>9.84</v>
      </c>
    </row>
    <row r="32" spans="9:47" ht="20.25" customHeight="1">
      <c r="J32" s="33" t="s">
        <v>176</v>
      </c>
      <c r="K32" s="32" t="b">
        <f>'C1'!E18</f>
        <v>1</v>
      </c>
      <c r="Z32" s="33" t="s">
        <v>270</v>
      </c>
      <c r="AA32" s="31" t="e">
        <f ca="1">_xlfn.LET(
    _xlpm._f_N_min, AA28,
    _xlpm._f_N_max, AA29,
    _xlpm._epsilon, K37,
    _xlpm._f_N_min_is_one_of_the_roots, ABS(_xlpm._f_N_min) &lt;= _xlpm._epsilon,
    _xlpm._f_N_max_is_one_of_the_roots, ABS(_xlpm._f_N_max) &lt;= _xlpm._epsilon,
    IF(
        _xlfn.XOR(
            _xlpm._f_N_min_is_one_of_the_roots,
            _xlpm._f_N_max_is_one_of_the_roots
        ),
        IF(
            _xlpm._f_N_min_is_one_of_the_roots,
            _xlpm._f_N_min,
            IF(_xlpm._f_N_max_is_one_of_the_roots, _xlpm._f_N_max, NA())
        ),
        NA()
    )
)</f>
        <v>#N/A</v>
      </c>
      <c r="AQ32" s="31">
        <f ca="1"/>
        <v>-20971.319283465422</v>
      </c>
      <c r="AR32" s="31">
        <v>2.16</v>
      </c>
      <c r="AT32" s="31">
        <f ca="1"/>
        <v>-22442.462802051319</v>
      </c>
      <c r="AU32" s="31">
        <v>10.08</v>
      </c>
    </row>
    <row r="33" spans="9:47" ht="20.25" customHeight="1">
      <c r="J33" s="33" t="s">
        <v>172</v>
      </c>
      <c r="K33" s="32">
        <f>'C1'!E19</f>
        <v>0.28465364146978933</v>
      </c>
      <c r="L33" s="31" t="s">
        <v>50</v>
      </c>
      <c r="AQ33" s="31">
        <f ca="1"/>
        <v>-20037.515860544394</v>
      </c>
      <c r="AR33" s="31">
        <v>2.6400000000000006</v>
      </c>
      <c r="AT33" s="31">
        <f ca="1"/>
        <v>-22844.061706528395</v>
      </c>
      <c r="AU33" s="31">
        <v>10.32</v>
      </c>
    </row>
    <row r="34" spans="9:47" ht="20.25" customHeight="1">
      <c r="Y34" s="31" t="s">
        <v>268</v>
      </c>
      <c r="AQ34" s="31">
        <f ca="1"/>
        <v>-19268.038632849042</v>
      </c>
      <c r="AR34" s="31">
        <v>3.1199999999999992</v>
      </c>
      <c r="AT34" s="31">
        <f ca="1"/>
        <v>-23249.834960860964</v>
      </c>
      <c r="AU34" s="31">
        <v>10.559999999999999</v>
      </c>
    </row>
    <row r="35" spans="9:47" ht="20.25" customHeight="1">
      <c r="I35" s="31" t="s">
        <v>274</v>
      </c>
      <c r="Z35" s="33" t="s">
        <v>267</v>
      </c>
      <c r="AA35" s="31" t="b">
        <f ca="1">ISNUMBER(AA36)</f>
        <v>1</v>
      </c>
      <c r="AQ35" s="31">
        <f ca="1"/>
        <v>-18658.276678904498</v>
      </c>
      <c r="AR35" s="31">
        <v>3.5999999999999996</v>
      </c>
      <c r="AT35" s="31">
        <f ca="1"/>
        <v>-23657.993900414745</v>
      </c>
      <c r="AU35" s="31">
        <v>10.8</v>
      </c>
    </row>
    <row r="36" spans="9:47" ht="20.25" customHeight="1">
      <c r="J36" s="33" t="s">
        <v>272</v>
      </c>
      <c r="K36" s="32">
        <f>10^3</f>
        <v>1000</v>
      </c>
      <c r="L36" s="31" t="s">
        <v>271</v>
      </c>
      <c r="Z36" s="33" t="s">
        <v>266</v>
      </c>
      <c r="AA36" s="31" cm="1">
        <f t="array" aca="1" ref="AA36" ca="1">_xlfn.LET(
    _xlpm._a4, AA17,
    _xlpm._a3, AA18,
    _xlpm._a2, AA19,
    _xlpm._a1, AA20,
    _xlpm._a0, AA21,
    _xlpm._N_min, AA24,
    _xlpm._N_max, AA25,
    _xlpm._n_iteration_max, K36,
    _xlpm._epsilon, K37,
    _bisection.quartic_equation(
        _xlpm._a4,
        _xlpm._a3,
        _xlpm._a2,
        _xlpm._a1,
        _xlpm._a0,
        _xlpm._N_min,
        _xlpm._N_max,
        _xlpm._n_iteration_max,
        _xlpm._epsilon
    )
)</f>
        <v>22.45580792427063</v>
      </c>
      <c r="AB36" s="31" t="s">
        <v>104</v>
      </c>
      <c r="AQ36" s="31">
        <f ca="1"/>
        <v>-18203.003306086739</v>
      </c>
      <c r="AR36" s="31">
        <v>4.0799999999999983</v>
      </c>
      <c r="AT36" s="31">
        <f ca="1"/>
        <v>-24066.71137485854</v>
      </c>
      <c r="AU36" s="31">
        <v>11.04</v>
      </c>
    </row>
    <row r="37" spans="9:47" ht="20.25" customHeight="1">
      <c r="J37" s="33" t="s">
        <v>269</v>
      </c>
      <c r="K37" s="32">
        <f>10^-3</f>
        <v>1E-3</v>
      </c>
      <c r="AQ37" s="31">
        <f ca="1"/>
        <v>-17896.37605062253</v>
      </c>
      <c r="AR37" s="31">
        <v>4.5599999999999987</v>
      </c>
      <c r="AT37" s="31">
        <f ca="1"/>
        <v>-24474.121748164413</v>
      </c>
      <c r="AU37" s="31">
        <v>11.28</v>
      </c>
    </row>
    <row r="38" spans="9:47" ht="20.25" customHeight="1">
      <c r="AQ38" s="31">
        <f ca="1"/>
        <v>-17731.936677589452</v>
      </c>
      <c r="AR38" s="31">
        <v>5.0399999999999991</v>
      </c>
      <c r="AT38" s="31">
        <f ca="1"/>
        <v>-24878.320898607541</v>
      </c>
      <c r="AU38" s="31">
        <v>11.52</v>
      </c>
    </row>
    <row r="39" spans="9:47" ht="20.25" customHeight="1">
      <c r="AQ39" s="31">
        <f ca="1"/>
        <v>-17702.611180915897</v>
      </c>
      <c r="AR39" s="31">
        <v>5.52</v>
      </c>
      <c r="AT39" s="31">
        <f ca="1"/>
        <v>-25277.366218766314</v>
      </c>
      <c r="AU39" s="31">
        <v>11.76</v>
      </c>
    </row>
    <row r="40" spans="9:47" ht="20.25" customHeight="1">
      <c r="AQ40" s="31">
        <f ca="1"/>
        <v>-17800.709783381062</v>
      </c>
      <c r="AR40" s="31">
        <v>6</v>
      </c>
      <c r="AT40" s="31">
        <f ca="1"/>
        <v>-25669.276615522271</v>
      </c>
      <c r="AU40" s="31">
        <v>12</v>
      </c>
    </row>
    <row r="41" spans="9:47" ht="20.25" customHeight="1">
      <c r="AQ41" s="31">
        <f ca="1"/>
        <v>-18017.92693661496</v>
      </c>
      <c r="AR41" s="31">
        <v>6.48</v>
      </c>
      <c r="AT41" s="31">
        <f ca="1"/>
        <v>-26052.032510060169</v>
      </c>
      <c r="AU41" s="31">
        <v>12.24</v>
      </c>
    </row>
    <row r="42" spans="9:47" ht="20.25" customHeight="1">
      <c r="AQ42" s="31">
        <f ca="1"/>
        <v>-18345.3413210984</v>
      </c>
      <c r="AR42" s="31">
        <v>6.9600000000000009</v>
      </c>
      <c r="AT42" s="31">
        <f ca="1"/>
        <v>-26423.57583786788</v>
      </c>
      <c r="AU42" s="31">
        <v>12.48</v>
      </c>
    </row>
    <row r="43" spans="9:47" ht="20.25" customHeight="1">
      <c r="AQ43" s="31">
        <f ca="1"/>
        <v>-18773.415846163007</v>
      </c>
      <c r="AR43" s="31">
        <v>7.4399999999999977</v>
      </c>
      <c r="AT43" s="31">
        <f ca="1"/>
        <v>-26781.810048736494</v>
      </c>
      <c r="AU43" s="31">
        <v>12.719999999999999</v>
      </c>
    </row>
    <row r="44" spans="9:47" ht="20.25" customHeight="1">
      <c r="AQ44" s="31">
        <f ca="1"/>
        <v>-19291.997649991234</v>
      </c>
      <c r="AR44" s="31">
        <v>7.9200000000000017</v>
      </c>
      <c r="AT44" s="31">
        <f ca="1"/>
        <v>-27124.600106760285</v>
      </c>
      <c r="AU44" s="31">
        <v>12.96</v>
      </c>
    </row>
    <row r="45" spans="9:47" ht="20.25" customHeight="1">
      <c r="AQ45" s="31">
        <f ca="1"/>
        <v>-19890.318099616306</v>
      </c>
      <c r="AR45" s="31">
        <v>8.3999999999999986</v>
      </c>
      <c r="AT45" s="31">
        <f ca="1"/>
        <v>-27449.772490336654</v>
      </c>
      <c r="AU45" s="31">
        <v>13.2</v>
      </c>
    </row>
    <row r="46" spans="9:47" ht="20.25" customHeight="1">
      <c r="AQ46" s="31">
        <f ca="1"/>
        <v>-20556.99279092229</v>
      </c>
      <c r="AR46" s="31">
        <v>8.879999999999999</v>
      </c>
      <c r="AT46" s="31">
        <f ca="1"/>
        <v>-27755.115192166217</v>
      </c>
      <c r="AU46" s="31">
        <v>13.44</v>
      </c>
    </row>
    <row r="47" spans="9:47" ht="20.25" customHeight="1">
      <c r="AQ47" s="31">
        <f ca="1"/>
        <v>-21280.021548644047</v>
      </c>
      <c r="AR47" s="31">
        <v>9.36</v>
      </c>
      <c r="AT47" s="31">
        <f ca="1"/>
        <v>-28038.377719252763</v>
      </c>
      <c r="AU47" s="31">
        <v>13.68</v>
      </c>
    </row>
    <row r="48" spans="9:47" ht="20.25" customHeight="1">
      <c r="AQ48" s="31">
        <f ca="1"/>
        <v>-22046.788426367253</v>
      </c>
      <c r="AR48" s="31">
        <v>9.84</v>
      </c>
      <c r="AT48" s="31">
        <f ca="1"/>
        <v>-28297.271092903255</v>
      </c>
      <c r="AU48" s="31">
        <v>13.92</v>
      </c>
    </row>
    <row r="49" spans="43:47" ht="20.25" customHeight="1">
      <c r="AQ49" s="31">
        <f ca="1"/>
        <v>-22844.061706528395</v>
      </c>
      <c r="AR49" s="31">
        <v>10.32</v>
      </c>
      <c r="AT49" s="31">
        <f ca="1"/>
        <v>-28529.467848727814</v>
      </c>
      <c r="AU49" s="31">
        <v>14.16</v>
      </c>
    </row>
    <row r="50" spans="43:47" ht="20.25" customHeight="1">
      <c r="AQ50" s="31">
        <f ca="1"/>
        <v>-23657.993900414745</v>
      </c>
      <c r="AR50" s="31">
        <v>10.8</v>
      </c>
      <c r="AT50" s="31">
        <f ca="1"/>
        <v>-28732.602036639742</v>
      </c>
      <c r="AU50" s="31">
        <v>14.4</v>
      </c>
    </row>
    <row r="51" spans="43:47" ht="20.25" customHeight="1">
      <c r="AQ51" s="31">
        <f ca="1"/>
        <v>-24474.121748164413</v>
      </c>
      <c r="AR51" s="31">
        <v>11.280000000000001</v>
      </c>
      <c r="AT51" s="31">
        <f ca="1"/>
        <v>-28904.269220855538</v>
      </c>
      <c r="AU51" s="31">
        <v>14.64</v>
      </c>
    </row>
    <row r="52" spans="43:47" ht="20.25" customHeight="1">
      <c r="AQ52" s="31">
        <f ca="1"/>
        <v>-25277.366218766314</v>
      </c>
      <c r="AR52" s="31">
        <v>11.759999999999998</v>
      </c>
      <c r="AT52" s="31">
        <f ca="1"/>
        <v>-29042.026479894848</v>
      </c>
      <c r="AU52" s="31">
        <v>14.879999999999999</v>
      </c>
    </row>
    <row r="53" spans="43:47" ht="20.25" customHeight="1">
      <c r="AQ53" s="31">
        <f ca="1"/>
        <v>-26052.032510060169</v>
      </c>
      <c r="AR53" s="31">
        <v>12.239999999999998</v>
      </c>
      <c r="AT53" s="31">
        <f ca="1"/>
        <v>-29143.392406580526</v>
      </c>
      <c r="AU53" s="31">
        <v>15.12</v>
      </c>
    </row>
    <row r="54" spans="43:47" ht="20.25" customHeight="1">
      <c r="AQ54" s="31">
        <f ca="1"/>
        <v>-26781.810048736494</v>
      </c>
      <c r="AR54" s="31">
        <v>12.719999999999999</v>
      </c>
      <c r="AT54" s="31">
        <f ca="1"/>
        <v>-29205.847108038572</v>
      </c>
      <c r="AU54" s="31">
        <v>15.36</v>
      </c>
    </row>
    <row r="55" spans="43:47" ht="20.25" customHeight="1">
      <c r="AQ55" s="31">
        <f ca="1"/>
        <v>-27449.772490336654</v>
      </c>
      <c r="AR55" s="31">
        <v>13.2</v>
      </c>
      <c r="AT55" s="31">
        <f ca="1"/>
        <v>-29226.832205698156</v>
      </c>
      <c r="AU55" s="31">
        <v>15.6</v>
      </c>
    </row>
    <row r="56" spans="43:47" ht="20.25" customHeight="1">
      <c r="AQ56" s="31">
        <f ca="1"/>
        <v>-28038.377719252763</v>
      </c>
      <c r="AR56" s="31">
        <v>13.68</v>
      </c>
      <c r="AT56" s="31">
        <f ca="1"/>
        <v>-29203.75083529167</v>
      </c>
      <c r="AU56" s="31">
        <v>15.84</v>
      </c>
    </row>
    <row r="57" spans="43:47" ht="20.25" customHeight="1">
      <c r="AQ57" s="31">
        <f ca="1"/>
        <v>-28529.467848727814</v>
      </c>
      <c r="AR57" s="31">
        <v>14.16</v>
      </c>
      <c r="AT57" s="31">
        <f ca="1"/>
        <v>-29133.967646854639</v>
      </c>
      <c r="AU57" s="31">
        <v>16.079999999999998</v>
      </c>
    </row>
    <row r="58" spans="43:47" ht="20.25" customHeight="1">
      <c r="AQ58" s="31">
        <f ca="1"/>
        <v>-28904.269220855538</v>
      </c>
      <c r="AR58" s="31">
        <v>14.64</v>
      </c>
      <c r="AT58" s="31">
        <f ca="1"/>
        <v>-29014.80880472577</v>
      </c>
      <c r="AU58" s="31">
        <v>16.32</v>
      </c>
    </row>
    <row r="59" spans="43:47" ht="20.25" customHeight="1">
      <c r="AQ59" s="31">
        <f ca="1"/>
        <v>-29143.392406580533</v>
      </c>
      <c r="AR59" s="31">
        <v>15.119999999999997</v>
      </c>
      <c r="AT59" s="31">
        <f ca="1"/>
        <v>-28843.561987546957</v>
      </c>
      <c r="AU59" s="31">
        <v>16.559999999999999</v>
      </c>
    </row>
    <row r="60" spans="43:47" ht="20.25" customHeight="1">
      <c r="AQ60" s="31">
        <f ca="1"/>
        <v>-29226.832205698156</v>
      </c>
      <c r="AR60" s="31">
        <v>15.599999999999998</v>
      </c>
      <c r="AT60" s="31">
        <f ca="1"/>
        <v>-28617.476388263269</v>
      </c>
      <c r="AU60" s="31">
        <v>16.799999999999997</v>
      </c>
    </row>
    <row r="61" spans="43:47" ht="20.25" customHeight="1">
      <c r="AQ61" s="31">
        <f ca="1"/>
        <v>-29133.967646854639</v>
      </c>
      <c r="AR61" s="31">
        <v>16.079999999999998</v>
      </c>
      <c r="AT61" s="31">
        <f ca="1"/>
        <v>-28333.762714122924</v>
      </c>
      <c r="AU61" s="31">
        <v>17.04</v>
      </c>
    </row>
    <row r="62" spans="43:47" ht="20.25" customHeight="1">
      <c r="AQ62" s="31">
        <f ca="1"/>
        <v>-28843.561987546957</v>
      </c>
      <c r="AR62" s="31">
        <v>16.559999999999999</v>
      </c>
      <c r="AT62" s="31">
        <f ca="1"/>
        <v>-27989.593186677368</v>
      </c>
      <c r="AU62" s="31">
        <v>17.28</v>
      </c>
    </row>
    <row r="63" spans="43:47" ht="20.25" customHeight="1">
      <c r="AQ63" s="31">
        <f ca="1"/>
        <v>-28333.762714122924</v>
      </c>
      <c r="AR63" s="31">
        <v>17.04</v>
      </c>
      <c r="AT63" s="31">
        <f ca="1"/>
        <v>-27582.10154178118</v>
      </c>
      <c r="AU63" s="31">
        <v>17.52</v>
      </c>
    </row>
    <row r="64" spans="43:47" ht="20.25" customHeight="1">
      <c r="AQ64" s="31">
        <f ca="1"/>
        <v>-27582.10154178118</v>
      </c>
      <c r="AR64" s="31">
        <v>17.52</v>
      </c>
      <c r="AT64" s="31">
        <f ca="1"/>
        <v>-27108.383029592129</v>
      </c>
      <c r="AU64" s="31">
        <v>17.759999999999998</v>
      </c>
    </row>
    <row r="65" spans="43:47" ht="20.25" customHeight="1">
      <c r="AQ65" s="31">
        <f ca="1"/>
        <v>-26565.494414571156</v>
      </c>
      <c r="AR65" s="31">
        <v>18</v>
      </c>
      <c r="AT65" s="31">
        <f ca="1"/>
        <v>-26565.494414571156</v>
      </c>
      <c r="AU65" s="31">
        <v>18</v>
      </c>
    </row>
    <row r="66" spans="43:47" ht="20.25" customHeight="1">
      <c r="AQ66" s="31">
        <f ca="1"/>
        <v>-25260.241505393053</v>
      </c>
      <c r="AR66" s="31">
        <v>18.48</v>
      </c>
      <c r="AT66" s="31">
        <f ca="1"/>
        <v>-25950.453975482356</v>
      </c>
      <c r="AU66" s="31">
        <v>18.240000000000002</v>
      </c>
    </row>
    <row r="67" spans="43:47" ht="20.25" customHeight="1">
      <c r="AQ67" s="31">
        <f ca="1"/>
        <v>-23642.027215997958</v>
      </c>
      <c r="AR67" s="31">
        <v>18.96</v>
      </c>
      <c r="AT67" s="31">
        <f ca="1"/>
        <v>-25260.241505393053</v>
      </c>
      <c r="AU67" s="31">
        <v>18.48</v>
      </c>
    </row>
    <row r="68" spans="43:47" ht="20.25" customHeight="1">
      <c r="AQ68" s="31">
        <f ca="1"/>
        <v>-21685.920176987747</v>
      </c>
      <c r="AR68" s="31">
        <v>19.439999999999998</v>
      </c>
      <c r="AT68" s="31">
        <f ca="1"/>
        <v>-24491.798311673723</v>
      </c>
      <c r="AU68" s="31">
        <v>18.72</v>
      </c>
    </row>
    <row r="69" spans="43:47" ht="20.25" customHeight="1">
      <c r="AQ69" s="31">
        <f ca="1"/>
        <v>-19366.373247815041</v>
      </c>
      <c r="AR69" s="31">
        <v>19.919999999999998</v>
      </c>
      <c r="AT69" s="31">
        <f ca="1"/>
        <v>-23642.027215997958</v>
      </c>
      <c r="AU69" s="31">
        <v>18.96</v>
      </c>
    </row>
    <row r="70" spans="43:47" ht="20.25" customHeight="1">
      <c r="AQ70" s="31">
        <f ca="1"/>
        <v>-16657.223516783335</v>
      </c>
      <c r="AR70" s="31">
        <v>20.399999999999999</v>
      </c>
      <c r="AT70" s="31">
        <f ca="1"/>
        <v>-22707.792554342661</v>
      </c>
      <c r="AU70" s="31">
        <v>19.2</v>
      </c>
    </row>
    <row r="71" spans="43:47" ht="20.25" customHeight="1">
      <c r="AQ71" s="31">
        <f ca="1"/>
        <v>-13531.692301046955</v>
      </c>
      <c r="AR71" s="31">
        <v>20.879999999999995</v>
      </c>
      <c r="AT71" s="31">
        <f ca="1"/>
        <v>-21685.920176987747</v>
      </c>
      <c r="AU71" s="31">
        <v>19.439999999999998</v>
      </c>
    </row>
    <row r="72" spans="43:47" ht="20.25" customHeight="1">
      <c r="AQ72" s="31">
        <f ca="1"/>
        <v>-9962.3851466108972</v>
      </c>
      <c r="AR72" s="31">
        <v>21.36</v>
      </c>
      <c r="AT72" s="31">
        <f ca="1"/>
        <v>-20573.197448516417</v>
      </c>
      <c r="AU72" s="31">
        <v>19.68</v>
      </c>
    </row>
    <row r="73" spans="43:47" ht="20.25" customHeight="1">
      <c r="AQ73" s="31">
        <f ca="1"/>
        <v>-5921.2918283311228</v>
      </c>
      <c r="AR73" s="31">
        <v>21.840000000000003</v>
      </c>
      <c r="AT73" s="31">
        <f ca="1"/>
        <v>-19366.373247815041</v>
      </c>
      <c r="AU73" s="31">
        <v>19.920000000000002</v>
      </c>
    </row>
    <row r="74" spans="43:47" ht="20.25" customHeight="1">
      <c r="AQ74" s="31">
        <f ca="1"/>
        <v>-1379.7863499144078</v>
      </c>
      <c r="AR74" s="31">
        <v>22.32</v>
      </c>
      <c r="AT74" s="31">
        <f ca="1"/>
        <v>-18062.157968073116</v>
      </c>
      <c r="AU74" s="31">
        <v>20.16</v>
      </c>
    </row>
    <row r="75" spans="43:47" ht="20.25" customHeight="1">
      <c r="AQ75" s="31">
        <f ca="1"/>
        <v>3691.3730560817567</v>
      </c>
      <c r="AR75" s="31">
        <v>22.799999999999997</v>
      </c>
      <c r="AT75" s="31">
        <f ca="1"/>
        <v>-16657.223516783335</v>
      </c>
      <c r="AU75" s="31">
        <v>20.399999999999999</v>
      </c>
    </row>
    <row r="76" spans="43:47" ht="20.25" customHeight="1">
      <c r="AQ76" s="31">
        <f ca="1"/>
        <v>9322.0439282491498</v>
      </c>
      <c r="AR76" s="31">
        <v>23.28</v>
      </c>
      <c r="AT76" s="31">
        <f ca="1"/>
        <v>-15148.203315741608</v>
      </c>
      <c r="AU76" s="31">
        <v>20.64</v>
      </c>
    </row>
    <row r="77" spans="43:47" ht="20.25" customHeight="1">
      <c r="AQ77" s="31">
        <f ca="1"/>
        <v>15542.699576328458</v>
      </c>
      <c r="AR77" s="31">
        <v>23.759999999999998</v>
      </c>
      <c r="AT77" s="31">
        <f ca="1"/>
        <v>-13531.69230104694</v>
      </c>
      <c r="AU77" s="31">
        <v>20.88</v>
      </c>
    </row>
    <row r="78" spans="43:47" ht="20.25" customHeight="1">
      <c r="AQ78" s="31">
        <f ca="1"/>
        <v>22384.429081209797</v>
      </c>
      <c r="AR78" s="31">
        <v>24.239999999999995</v>
      </c>
      <c r="AT78" s="31">
        <f ca="1"/>
        <v>-11804.246923101578</v>
      </c>
      <c r="AU78" s="31">
        <v>21.119999999999997</v>
      </c>
    </row>
    <row r="79" spans="43:47" ht="20.25" customHeight="1">
      <c r="AQ79" s="31">
        <f ca="1"/>
        <v>29878.937294932541</v>
      </c>
      <c r="AR79" s="31">
        <v>24.72</v>
      </c>
      <c r="AT79" s="31">
        <f ca="1"/>
        <v>-9962.3851466108972</v>
      </c>
      <c r="AU79" s="31">
        <v>21.36</v>
      </c>
    </row>
    <row r="80" spans="43:47" ht="20.25" customHeight="1">
      <c r="AQ80" s="31">
        <f ca="1"/>
        <v>38058.544840684983</v>
      </c>
      <c r="AR80" s="31">
        <v>25.200000000000003</v>
      </c>
      <c r="AT80" s="31">
        <f ca="1"/>
        <v>-8002.5864505835125</v>
      </c>
      <c r="AU80" s="31">
        <v>21.6</v>
      </c>
    </row>
    <row r="81" spans="43:47" ht="20.25" customHeight="1">
      <c r="AQ81" s="31">
        <f ca="1"/>
        <v>46956.188112804673</v>
      </c>
      <c r="AR81" s="31">
        <v>25.68</v>
      </c>
      <c r="AT81" s="31">
        <f ca="1"/>
        <v>-5921.291828331181</v>
      </c>
      <c r="AU81" s="31">
        <v>21.84</v>
      </c>
    </row>
    <row r="82" spans="43:47" ht="20.25" customHeight="1">
      <c r="AQ82" s="31">
        <f ca="1"/>
        <v>56605.419276778521</v>
      </c>
      <c r="AR82" s="31">
        <v>26.159999999999997</v>
      </c>
      <c r="AT82" s="31">
        <f ca="1"/>
        <v>-3714.903787468771</v>
      </c>
      <c r="AU82" s="31">
        <v>22.08</v>
      </c>
    </row>
    <row r="83" spans="43:47" ht="20.25" customHeight="1">
      <c r="AQ83" s="31">
        <f ca="1"/>
        <v>67040.40626924258</v>
      </c>
      <c r="AR83" s="31">
        <v>26.64</v>
      </c>
      <c r="AT83" s="31">
        <f ca="1"/>
        <v>-1379.7863499144078</v>
      </c>
      <c r="AU83" s="31">
        <v>22.32</v>
      </c>
    </row>
    <row r="84" spans="43:47" ht="20.25" customHeight="1">
      <c r="AQ84" s="31">
        <f ca="1"/>
        <v>78295.932797981863</v>
      </c>
      <c r="AR84" s="31">
        <v>27.119999999999997</v>
      </c>
      <c r="AT84" s="31">
        <f ca="1"/>
        <v>1087.7349481105557</v>
      </c>
      <c r="AU84" s="31">
        <v>22.56</v>
      </c>
    </row>
    <row r="85" spans="43:47" ht="20.25" customHeight="1">
      <c r="AQ85" s="31">
        <f ca="1"/>
        <v>90407.398341931053</v>
      </c>
      <c r="AR85" s="31">
        <v>27.6</v>
      </c>
      <c r="AT85" s="31">
        <f ca="1"/>
        <v>3691.3730560818003</v>
      </c>
      <c r="AU85" s="31">
        <v>22.8</v>
      </c>
    </row>
    <row r="86" spans="43:47" ht="20.25" customHeight="1">
      <c r="AQ86" s="31">
        <f ca="1"/>
        <v>103410.81815117336</v>
      </c>
      <c r="AR86" s="31">
        <v>28.08</v>
      </c>
      <c r="AT86" s="31">
        <f ca="1"/>
        <v>6434.8794091715608</v>
      </c>
      <c r="AU86" s="31">
        <v>23.04</v>
      </c>
    </row>
    <row r="87" spans="43:47" ht="20.25" customHeight="1">
      <c r="AQ87" s="31">
        <f ca="1"/>
        <v>117342.82324694193</v>
      </c>
      <c r="AR87" s="31">
        <v>28.560000000000002</v>
      </c>
      <c r="AT87" s="31">
        <f ca="1"/>
        <v>9322.0439282491498</v>
      </c>
      <c r="AU87" s="31">
        <v>23.28</v>
      </c>
    </row>
    <row r="88" spans="43:47" ht="20.25" customHeight="1">
      <c r="AQ88" s="31">
        <f ca="1"/>
        <v>132240.66042161841</v>
      </c>
      <c r="AR88" s="31">
        <v>29.04</v>
      </c>
      <c r="AT88" s="31">
        <f ca="1"/>
        <v>12356.695019880462</v>
      </c>
      <c r="AU88" s="31">
        <v>23.52</v>
      </c>
    </row>
    <row r="89" spans="43:47" ht="20.25" customHeight="1">
      <c r="AQ89" s="31">
        <f ca="1"/>
        <v>148142.19223873384</v>
      </c>
      <c r="AR89" s="31">
        <v>29.519999999999996</v>
      </c>
      <c r="AT89" s="31">
        <f ca="1"/>
        <v>15542.699576328458</v>
      </c>
      <c r="AU89" s="31">
        <v>23.759999999999998</v>
      </c>
    </row>
    <row r="90" spans="43:47" ht="20.25" customHeight="1">
      <c r="AQ90" s="31">
        <f ca="1"/>
        <v>165085.89703296908</v>
      </c>
      <c r="AR90" s="31">
        <v>30</v>
      </c>
      <c r="AT90" s="31">
        <f ca="1"/>
        <v>18883.962975552793</v>
      </c>
      <c r="AU90" s="31">
        <v>24</v>
      </c>
    </row>
    <row r="91" spans="43:47" ht="20.25" customHeight="1">
      <c r="AQ91" s="31">
        <f ca="1"/>
        <v>183110.86891015319</v>
      </c>
      <c r="AR91" s="31">
        <v>30.479999999999997</v>
      </c>
      <c r="AT91" s="31">
        <f ca="1"/>
        <v>22384.429081209841</v>
      </c>
      <c r="AU91" s="31">
        <v>24.24</v>
      </c>
    </row>
    <row r="92" spans="43:47" ht="20.25" customHeight="1">
      <c r="AQ92" s="31">
        <f ca="1"/>
        <v>202256.81774726519</v>
      </c>
      <c r="AR92" s="31">
        <v>30.96</v>
      </c>
      <c r="AT92" s="31">
        <f ca="1"/>
        <v>26048.080242653079</v>
      </c>
      <c r="AU92" s="31">
        <v>24.48</v>
      </c>
    </row>
    <row r="93" spans="43:47" ht="20.25" customHeight="1">
      <c r="AQ93" s="31">
        <f ca="1"/>
        <v>222564.06919243265</v>
      </c>
      <c r="AR93" s="31">
        <v>31.439999999999998</v>
      </c>
      <c r="AT93" s="31">
        <f ca="1"/>
        <v>29878.937294932541</v>
      </c>
      <c r="AU93" s="31">
        <v>24.72</v>
      </c>
    </row>
    <row r="94" spans="43:47" ht="20.25" customHeight="1">
      <c r="AQ94" s="31">
        <f ca="1"/>
        <v>244073.56466493322</v>
      </c>
      <c r="AR94" s="31">
        <v>31.92</v>
      </c>
      <c r="AT94" s="31">
        <f ca="1"/>
        <v>33881.059558795278</v>
      </c>
      <c r="AU94" s="31">
        <v>24.96</v>
      </c>
    </row>
    <row r="95" spans="43:47" ht="20.25" customHeight="1">
      <c r="AQ95" s="31">
        <f ca="1"/>
        <v>266826.86135519255</v>
      </c>
      <c r="AR95" s="31">
        <v>32.4</v>
      </c>
      <c r="AT95" s="31">
        <f ca="1"/>
        <v>38058.54484068491</v>
      </c>
      <c r="AU95" s="31">
        <v>25.2</v>
      </c>
    </row>
    <row r="96" spans="43:47" ht="20.25" customHeight="1">
      <c r="AQ96" s="31">
        <f ca="1"/>
        <v>290866.1322247861</v>
      </c>
      <c r="AR96" s="31">
        <v>32.879999999999995</v>
      </c>
      <c r="AT96" s="31">
        <f ca="1"/>
        <v>42415.529432742209</v>
      </c>
      <c r="AU96" s="31">
        <v>25.439999999999998</v>
      </c>
    </row>
    <row r="97" spans="43:47" ht="20.25" customHeight="1">
      <c r="AQ97" s="31">
        <f ca="1"/>
        <v>316234.16600643954</v>
      </c>
      <c r="AR97" s="31">
        <v>33.36</v>
      </c>
      <c r="AT97" s="31">
        <f ca="1"/>
        <v>46956.188112804673</v>
      </c>
      <c r="AU97" s="31">
        <v>25.68</v>
      </c>
    </row>
    <row r="98" spans="43:47" ht="20.25" customHeight="1">
      <c r="AQ98" s="31">
        <f ca="1"/>
        <v>342974.36720402568</v>
      </c>
      <c r="AR98" s="31">
        <v>33.839999999999996</v>
      </c>
      <c r="AT98" s="31">
        <f ca="1"/>
        <v>51684.734144406371</v>
      </c>
      <c r="AU98" s="31">
        <v>25.919999999999998</v>
      </c>
    </row>
    <row r="99" spans="43:47" ht="20.25" customHeight="1">
      <c r="AQ99" s="31">
        <f ca="1"/>
        <v>371130.7560925681</v>
      </c>
      <c r="AR99" s="31">
        <v>34.32</v>
      </c>
      <c r="AT99" s="31">
        <f ca="1"/>
        <v>56605.419276778535</v>
      </c>
      <c r="AU99" s="31">
        <v>26.16</v>
      </c>
    </row>
    <row r="100" spans="43:47" ht="20.25" customHeight="1">
      <c r="AQ100" s="31">
        <f ca="1"/>
        <v>400747.96871823852</v>
      </c>
      <c r="AR100" s="31">
        <v>34.799999999999997</v>
      </c>
      <c r="AT100" s="31">
        <f ca="1"/>
        <v>61722.533744848981</v>
      </c>
      <c r="AU100" s="31">
        <v>26.4</v>
      </c>
    </row>
    <row r="101" spans="43:47" ht="20.25" customHeight="1">
      <c r="AQ101" s="31">
        <f ca="1"/>
        <v>431871.25689835922</v>
      </c>
      <c r="AR101" s="31">
        <v>35.28</v>
      </c>
      <c r="AT101" s="31">
        <f ca="1"/>
        <v>67040.40626924258</v>
      </c>
      <c r="AU101" s="31">
        <v>26.64</v>
      </c>
    </row>
    <row r="102" spans="43:47" ht="20.25" customHeight="1">
      <c r="AQ102" s="31">
        <f ca="1"/>
        <v>464546.48822140007</v>
      </c>
      <c r="AR102" s="31">
        <v>35.76</v>
      </c>
      <c r="AT102" s="31">
        <f ca="1"/>
        <v>72563.404056280706</v>
      </c>
      <c r="AU102" s="31">
        <v>26.88</v>
      </c>
    </row>
    <row r="103" spans="43:47" ht="20.25" customHeight="1">
      <c r="AQ103" s="31">
        <f ca="1"/>
        <v>498820.14604698104</v>
      </c>
      <c r="AR103" s="31">
        <v>36.239999999999995</v>
      </c>
      <c r="AT103" s="31">
        <f ca="1"/>
        <v>78295.932797981863</v>
      </c>
      <c r="AU103" s="31">
        <v>27.119999999999997</v>
      </c>
    </row>
    <row r="104" spans="43:47" ht="20.25" customHeight="1">
      <c r="AQ104" s="31">
        <f ca="1"/>
        <v>534739.32950587163</v>
      </c>
      <c r="AR104" s="31">
        <v>36.72</v>
      </c>
      <c r="AT104" s="31">
        <f ca="1"/>
        <v>84242.436672061362</v>
      </c>
      <c r="AU104" s="31">
        <v>27.36</v>
      </c>
    </row>
    <row r="105" spans="43:47" ht="20.25" customHeight="1">
      <c r="AQ105" s="31">
        <f ca="1"/>
        <v>572351.7534999894</v>
      </c>
      <c r="AR105" s="31">
        <v>37.199999999999996</v>
      </c>
      <c r="AT105" s="31">
        <f ca="1"/>
        <v>90407.398341930937</v>
      </c>
      <c r="AU105" s="31">
        <v>27.599999999999998</v>
      </c>
    </row>
    <row r="106" spans="43:47" ht="20.25" customHeight="1">
      <c r="AQ106" s="31">
        <f ca="1"/>
        <v>611705.74870240246</v>
      </c>
      <c r="AR106" s="31">
        <v>37.68</v>
      </c>
      <c r="AT106" s="31">
        <f ca="1"/>
        <v>96795.338956699794</v>
      </c>
      <c r="AU106" s="31">
        <v>27.84</v>
      </c>
    </row>
    <row r="107" spans="43:47" ht="20.25" customHeight="1">
      <c r="AQ107" s="31">
        <f ca="1"/>
        <v>652850.26155732619</v>
      </c>
      <c r="AR107" s="31">
        <v>38.159999999999997</v>
      </c>
      <c r="AT107" s="31">
        <f ca="1"/>
        <v>103410.81815117336</v>
      </c>
      <c r="AU107" s="31">
        <v>28.08</v>
      </c>
    </row>
    <row r="108" spans="43:47" ht="20.25" customHeight="1">
      <c r="AQ108" s="31">
        <f ca="1"/>
        <v>695834.85428012768</v>
      </c>
      <c r="AR108" s="31">
        <v>38.64</v>
      </c>
      <c r="AT108" s="31">
        <f ca="1"/>
        <v>110258.43404585434</v>
      </c>
      <c r="AU108" s="31">
        <v>28.32</v>
      </c>
    </row>
    <row r="109" spans="43:47" ht="20.25" customHeight="1">
      <c r="AQ109" s="31">
        <f ca="1"/>
        <v>740709.70485732087</v>
      </c>
      <c r="AR109" s="31">
        <v>39.119999999999997</v>
      </c>
      <c r="AT109" s="31">
        <f ca="1"/>
        <v>117342.82324694187</v>
      </c>
      <c r="AU109" s="31">
        <v>28.56</v>
      </c>
    </row>
    <row r="110" spans="43:47" ht="20.25" customHeight="1">
      <c r="AQ110" s="31">
        <f ca="1"/>
        <v>787525.60704657086</v>
      </c>
      <c r="AR110" s="31">
        <v>39.6</v>
      </c>
      <c r="AT110" s="31">
        <f ca="1"/>
        <v>124668.66084633218</v>
      </c>
      <c r="AU110" s="31">
        <v>28.8</v>
      </c>
    </row>
    <row r="111" spans="43:47" ht="20.25" customHeight="1">
      <c r="AQ111" s="31">
        <f ca="1"/>
        <v>836333.97037668992</v>
      </c>
      <c r="AR111" s="31">
        <v>40.08</v>
      </c>
      <c r="AT111" s="31">
        <f ca="1"/>
        <v>132240.66042161841</v>
      </c>
      <c r="AU111" s="31">
        <v>29.04</v>
      </c>
    </row>
    <row r="112" spans="43:47" ht="20.25" customHeight="1">
      <c r="AQ112" s="31">
        <f ca="1"/>
        <v>887186.82014764147</v>
      </c>
      <c r="AR112" s="31">
        <v>40.559999999999995</v>
      </c>
      <c r="AT112" s="31">
        <f ca="1"/>
        <v>140063.57403608997</v>
      </c>
      <c r="AU112" s="31">
        <v>29.279999999999998</v>
      </c>
    </row>
    <row r="113" spans="43:47" ht="20.25" customHeight="1">
      <c r="AQ113" s="31">
        <f ca="1"/>
        <v>940136.79743053718</v>
      </c>
      <c r="AR113" s="31">
        <v>41.04</v>
      </c>
      <c r="AT113" s="31">
        <f ca="1"/>
        <v>148142.19223873396</v>
      </c>
      <c r="AU113" s="31">
        <v>29.52</v>
      </c>
    </row>
    <row r="114" spans="43:47" ht="20.25" customHeight="1">
      <c r="AQ114" s="31">
        <f ca="1"/>
        <v>995237.15906763729</v>
      </c>
      <c r="AR114" s="31">
        <v>41.519999999999996</v>
      </c>
      <c r="AT114" s="31">
        <f ca="1"/>
        <v>156481.3440642335</v>
      </c>
      <c r="AU114" s="31">
        <v>29.759999999999998</v>
      </c>
    </row>
    <row r="115" spans="43:47" ht="20.25" customHeight="1">
      <c r="AQ115" s="31">
        <f ca="1"/>
        <v>1052541.777672353</v>
      </c>
      <c r="AR115" s="31">
        <v>42</v>
      </c>
      <c r="AT115" s="31">
        <f ca="1"/>
        <v>165085.89703296908</v>
      </c>
      <c r="AU115" s="31">
        <v>30</v>
      </c>
    </row>
  </sheetData>
  <sheetProtection algorithmName="SHA-512" hashValue="lqqUVeT2abOEBhy3PeqU4poNo7P925mnwYZdrBTHIFOO/qS9myyupQUT9VkAzhvN2T/XttqdHa8BzXz1W4bQBQ==" saltValue="eMwv5yZmo/uoeNYXjf2j9A==" spinCount="100000" sheet="1" objects="1" scenarios="1"/>
  <phoneticPr fontId="2"/>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C351B-7414-4CED-A01E-AF457EBF324B}">
  <sheetPr codeName="Sheet29">
    <tabColor theme="0" tint="-0.499984740745262"/>
  </sheetPr>
  <dimension ref="A1:AZ115"/>
  <sheetViews>
    <sheetView showGridLines="0" workbookViewId="0"/>
  </sheetViews>
  <sheetFormatPr defaultColWidth="3.375" defaultRowHeight="20.25" customHeight="1"/>
  <cols>
    <col min="1" max="2" width="3.375" style="31"/>
    <col min="3" max="3" width="27.75" style="31" bestFit="1" customWidth="1"/>
    <col min="4" max="4" width="10" style="31" bestFit="1" customWidth="1"/>
    <col min="5" max="5" width="3.75" style="31" bestFit="1" customWidth="1"/>
    <col min="6" max="9" width="3.375" style="31"/>
    <col min="10" max="10" width="38.75" style="31" bestFit="1" customWidth="1"/>
    <col min="11" max="11" width="9.375" style="31" customWidth="1"/>
    <col min="12" max="12" width="5.375" style="31" bestFit="1" customWidth="1"/>
    <col min="13" max="14" width="3.375" style="31"/>
    <col min="15" max="15" width="3.75" style="31" bestFit="1" customWidth="1"/>
    <col min="16" max="16" width="3.75" style="31" customWidth="1"/>
    <col min="17" max="17" width="27.625" style="31" bestFit="1" customWidth="1"/>
    <col min="18" max="18" width="15.875" style="31" customWidth="1"/>
    <col min="19" max="22" width="3.75" style="31" customWidth="1"/>
    <col min="23" max="25" width="3.375" style="31"/>
    <col min="26" max="26" width="21.375" style="31" bestFit="1" customWidth="1"/>
    <col min="27" max="27" width="21" style="31" bestFit="1" customWidth="1"/>
    <col min="28" max="28" width="3.75" style="31" bestFit="1" customWidth="1"/>
    <col min="29" max="42" width="3.375" style="31"/>
    <col min="43" max="44" width="8.125" style="31" customWidth="1"/>
    <col min="45" max="45" width="3.375" style="31" customWidth="1"/>
    <col min="46" max="47" width="8.125" style="31" customWidth="1"/>
    <col min="48" max="49" width="3.375" style="31"/>
    <col min="50" max="50" width="13.125" style="31" bestFit="1" customWidth="1"/>
    <col min="51" max="51" width="13.25" style="31" customWidth="1"/>
    <col min="52" max="52" width="4.25" style="31" bestFit="1" customWidth="1"/>
    <col min="53" max="16384" width="3.375" style="31"/>
  </cols>
  <sheetData>
    <row r="1" spans="1:52" s="40" customFormat="1" ht="20.25" customHeight="1">
      <c r="A1" s="40" t="s">
        <v>509</v>
      </c>
    </row>
    <row r="2" spans="1:52" s="40" customFormat="1" ht="30">
      <c r="B2" s="41" t="str">
        <f ca="1">_xlfn.LET(
    _xlpm._header, "回転数を数値計算で求める",
    _xlpm._numbering, IFERROR(K8,K9),
    _xlpm._header &amp; "（要求条件番号：" &amp; _xlpm._numbering &amp; "）"
)</f>
        <v>回転数を数値計算で求める（要求条件番号：8）</v>
      </c>
    </row>
    <row r="3" spans="1:52" s="39" customFormat="1" ht="7.5" customHeight="1"/>
    <row r="5" spans="1:52" ht="20.25" customHeight="1">
      <c r="B5" s="31" t="s">
        <v>102</v>
      </c>
      <c r="G5" s="31" t="s">
        <v>101</v>
      </c>
      <c r="N5" s="31" t="s">
        <v>303</v>
      </c>
    </row>
    <row r="6" spans="1:52" ht="20.25" customHeight="1">
      <c r="C6" s="31" t="s">
        <v>302</v>
      </c>
      <c r="D6" s="31">
        <f ca="1">AY7</f>
        <v>24.13189297914505</v>
      </c>
      <c r="E6" s="31" t="s">
        <v>104</v>
      </c>
      <c r="H6" s="31" t="s">
        <v>99</v>
      </c>
      <c r="O6" s="31" t="s">
        <v>301</v>
      </c>
      <c r="V6" s="31" t="s">
        <v>300</v>
      </c>
      <c r="AW6" s="31" t="s">
        <v>299</v>
      </c>
    </row>
    <row r="7" spans="1:52" ht="20.25" customHeight="1">
      <c r="I7" s="31" t="s">
        <v>343</v>
      </c>
      <c r="AX7" s="33" t="s">
        <v>266</v>
      </c>
      <c r="AY7" s="31">
        <f ca="1">_xlfn.LET(
    _xlpm._N_bisection, AA36,
    _xlpm._N_initial, AA32,
    _xlpm._initial_values_are_invalid, AA30,
    _xlpm._m_c_is_out_of_range, NOT(R24),
    _xlpm._N_initial_is_one_of_the_roots, AA31,
    _xlpm._converged, AA35,
    IF(
        OR(
            _xlpm._initial_values_are_invalid,
            _xlpm._m_c_is_out_of_range
        ),
        NA(),
        IF(
            _xlpm._N_initial_is_one_of_the_roots,
            _xlpm._N_initial,
            IF(_xlpm._converged, _xlpm._N_bisection, NA())
        )
    )
)</f>
        <v>24.13189297914505</v>
      </c>
      <c r="AZ7" s="31" t="s">
        <v>104</v>
      </c>
    </row>
    <row r="8" spans="1:52" ht="20.25" customHeight="1">
      <c r="J8" s="33" t="s">
        <v>344</v>
      </c>
      <c r="K8" s="53" cm="1">
        <f t="array" aca="1" ref="K8" ca="1">_xlfn.LET(
    _xlpm._name_sheet, _xlfn.TEXTAFTER(
        _xlfn.TAKE(_xlfn.TEXTSPLIT( CELL("filename",A1), , "\"), -1),
        "]"
    ),
   VALUE(_xlfn.TEXTAFTER(_xlpm._name_sheet, "_"))
)</f>
        <v>8</v>
      </c>
    </row>
    <row r="9" spans="1:52" ht="20.25" customHeight="1">
      <c r="J9" s="33" t="s">
        <v>345</v>
      </c>
      <c r="K9" s="32">
        <v>8</v>
      </c>
      <c r="Q9" s="33" t="s">
        <v>295</v>
      </c>
      <c r="R9" s="31">
        <f ca="1">_xlfn.LET(
    _xlpm._m_c, K10,
    _xlpm._rho, K13,
    _xlpm._N_r, K21,
    _xlpm._D, K20,
    _xlpm._m_c * _xlpm._rho ^ -1 * _xlpm._N_r ^ -1 * _xlpm._D ^ -3
)</f>
        <v>3.1481481481481484</v>
      </c>
      <c r="S9" s="31" t="s">
        <v>84</v>
      </c>
    </row>
    <row r="10" spans="1:52" ht="20.25" customHeight="1">
      <c r="J10" s="33" t="s">
        <v>298</v>
      </c>
      <c r="K10" s="32" cm="1">
        <f t="array" aca="1" ref="K10" ca="1">_xlfn.LET(
    _xlpm._m_c,_xlfn.ANCHORARRAY( prm!A5),
    _xlpm._numbering, IFERROR(K8,K9),
    INDEX(_xlpm._m_c, _xlpm._numbering)
)</f>
        <v>2550</v>
      </c>
      <c r="L10" s="31" t="s">
        <v>92</v>
      </c>
      <c r="AR10" s="48" t="s">
        <v>210</v>
      </c>
    </row>
    <row r="11" spans="1:52" ht="20.25" customHeight="1">
      <c r="J11" s="33" t="s">
        <v>297</v>
      </c>
      <c r="K11" s="32" cm="1">
        <f t="array" aca="1" ref="K11" ca="1">_xlfn.LET(
    _xlpm._dP_c,_xlfn.ANCHORARRAY( prm!B5),
    _xlpm._numbering, IFERROR(K8,K9),
    INDEX(_xlpm._dP_c, _xlpm._numbering)
)</f>
        <v>185.61599999999999</v>
      </c>
      <c r="L11" s="31" t="s">
        <v>296</v>
      </c>
      <c r="P11" s="31" t="s">
        <v>294</v>
      </c>
      <c r="AR11" s="32">
        <v>1</v>
      </c>
      <c r="AT11" s="31" t="s">
        <v>336</v>
      </c>
    </row>
    <row r="12" spans="1:52" ht="20.25" customHeight="1">
      <c r="I12" s="31" t="s">
        <v>342</v>
      </c>
      <c r="J12" s="33"/>
      <c r="K12" s="33"/>
      <c r="L12" s="33"/>
      <c r="AQ12" s="37" t="s">
        <v>202</v>
      </c>
      <c r="AR12" s="37" t="s">
        <v>201</v>
      </c>
      <c r="AT12" s="37" t="s">
        <v>202</v>
      </c>
      <c r="AU12" s="37" t="s">
        <v>201</v>
      </c>
    </row>
    <row r="13" spans="1:52" ht="20.25" customHeight="1">
      <c r="J13" s="33" t="s">
        <v>115</v>
      </c>
      <c r="K13" s="32">
        <f>10^3</f>
        <v>1000</v>
      </c>
      <c r="L13" s="31" t="s">
        <v>114</v>
      </c>
      <c r="AQ13" s="47" t="s">
        <v>335</v>
      </c>
      <c r="AR13" s="47" t="s">
        <v>334</v>
      </c>
      <c r="AT13" s="47" t="s">
        <v>335</v>
      </c>
      <c r="AU13" s="47" t="s">
        <v>334</v>
      </c>
    </row>
    <row r="14" spans="1:52" ht="20.25" customHeight="1">
      <c r="J14" s="33"/>
      <c r="AQ14" s="35" t="s">
        <v>84</v>
      </c>
      <c r="AR14" s="35" t="s">
        <v>84</v>
      </c>
      <c r="AT14" s="35" t="s">
        <v>84</v>
      </c>
      <c r="AU14" s="35" t="s">
        <v>84</v>
      </c>
    </row>
    <row r="15" spans="1:52" ht="20.25" customHeight="1">
      <c r="I15" s="31" t="s">
        <v>529</v>
      </c>
      <c r="X15" s="31" t="s">
        <v>293</v>
      </c>
      <c r="AQ15" s="31" cm="1">
        <f t="array" aca="1" ref="AQ15:AQ115" ca="1">_xlfn.LET(
    _xlpm._coefficient, TRANSPOSE(AA17:AA21),
    _xlpm._values_N,_xlfn.ANCHORARRAY( AR15),
    _xlfn.MAP(
        _xlpm._values_N,
        _xlfn.LAMBDA(_xlpm._N,
            SUM(
                _xlpm._coefficient *
                    _xlfn.HSTACK(_xlpm._N ^ {4,3,2,1}, 1)
            )
        )
    )
)</f>
        <v>-96917.959233356407</v>
      </c>
      <c r="AR15" s="31" cm="1">
        <f t="array" ref="AR15:AR115">_xlfn.LET(
    _xlpm._number_divisions, 100,
    _xlpm._rate_extrapolation, AR11,
    _xlpm._N0, AA24,
    _xlpm._N1, AA25,
    _xlpm._extrapolation, (_xlpm._N1 - _xlpm._N0) * _xlpm._rate_extrapolation,
    ((_xlpm._N1 - _xlpm._N0) + _xlpm._extrapolation) / _xlpm._number_divisions *
        (_xlfn.SEQUENCE(_xlpm._number_divisions + 1) - 1) + _xlpm._N0 -
        _xlpm._extrapolation / 2
)</f>
        <v>-6</v>
      </c>
      <c r="AT15" s="31" cm="1">
        <f t="array" aca="1" ref="AT15:AT115" ca="1">_xlfn.LET(
    _xlpm._coefficient, TRANSPOSE(AA17:AA21),
    _xlpm._values_N,_xlfn.ANCHORARRAY( AU15),
    _xlfn.MAP(
        _xlpm._values_N,
        _xlfn.LAMBDA(_xlpm._N,
            SUM(
                _xlpm._coefficient *
                    _xlfn.HSTACK(_xlpm._N ^ {4,3,2,1}, 1)
            )
        )
    )
)</f>
        <v>-28951.926935248819</v>
      </c>
      <c r="AU15" s="31" cm="1">
        <f t="array" ref="AU15:AU115">_xlfn.LET(
    _xlpm._number_divisions, 100,
    _xlpm._N0, AA24,
    _xlpm._N1, AA25,
    (_xlpm._N1 - _xlpm._N0) / _xlpm._number_divisions *
        (_xlfn.SEQUENCE(_xlpm._number_divisions + 1) - 1) + _xlpm._N0
)</f>
        <v>6</v>
      </c>
    </row>
    <row r="16" spans="1:52" ht="20.25" customHeight="1">
      <c r="J16" s="33" t="s">
        <v>530</v>
      </c>
      <c r="K16" s="32">
        <f>'C1'!E14</f>
        <v>1.832382785185185E-2</v>
      </c>
      <c r="L16" s="31" t="s">
        <v>5</v>
      </c>
      <c r="Y16" s="31" t="s">
        <v>292</v>
      </c>
      <c r="AQ16" s="31">
        <f ca="1"/>
        <v>-91719.232969756471</v>
      </c>
      <c r="AR16" s="31">
        <v>-5.52</v>
      </c>
      <c r="AT16" s="31">
        <f ca="1"/>
        <v>-28843.609933451473</v>
      </c>
      <c r="AU16" s="31">
        <v>6.24</v>
      </c>
    </row>
    <row r="17" spans="9:47" ht="20.25" customHeight="1">
      <c r="J17" s="33" t="s">
        <v>531</v>
      </c>
      <c r="K17" s="32">
        <f>'C1'!E15</f>
        <v>5.6803866333333337</v>
      </c>
      <c r="L17" s="31" t="s">
        <v>5</v>
      </c>
      <c r="Q17" s="33" t="s">
        <v>291</v>
      </c>
      <c r="R17" s="31">
        <f>_xlfn.LET(
    _xlpm._rho, K13,
    _xlpm._N_r, K21,
    _xlpm._D, K20,
    _xlpm._C_f_p, K33,
    _xlpm._C_f_min_sample, K16,
    _xlpm._local_maximum_exists, K32,
    IF(
        _xlpm._local_maximum_exists,
        _xlpm._C_f_p,
        _xlpm._C_f_min_sample
    )
)</f>
        <v>0.28465364146978933</v>
      </c>
      <c r="S17" s="31" t="s">
        <v>84</v>
      </c>
      <c r="Z17" s="33" t="s">
        <v>290</v>
      </c>
      <c r="AA17" s="31">
        <f>_xlfn.LET(
    _xlpm._alpha_5, K30,
    _xlpm._rho, K13,
    _xlpm._D, K20,
    _xlpm._rho * _xlpm._D ^ 2 * _xlpm._alpha_5 * 10 ^ -3
)</f>
        <v>0.48332932491123698</v>
      </c>
      <c r="AQ17" s="31">
        <f ca="1"/>
        <v>-86709.243922846508</v>
      </c>
      <c r="AR17" s="31">
        <v>-5.04</v>
      </c>
      <c r="AT17" s="31">
        <f ca="1"/>
        <v>-28773.244096476315</v>
      </c>
      <c r="AU17" s="31">
        <v>6.48</v>
      </c>
    </row>
    <row r="18" spans="9:47" ht="20.25" customHeight="1">
      <c r="Z18" s="33" t="s">
        <v>288</v>
      </c>
      <c r="AA18" s="31">
        <f ca="1">_xlfn.LET(
    _xlpm._alpha_4, K29,
    _xlpm._m_c, K10,
    _xlpm._D, K20,
    _xlpm._alpha_4 * _xlpm._m_c * _xlpm._D ^ -1 * 10 ^ -3
)</f>
        <v>1.578163889755446</v>
      </c>
      <c r="AQ18" s="31">
        <f ca="1"/>
        <v>-81893.71838146224</v>
      </c>
      <c r="AR18" s="31">
        <v>-4.5600000000000005</v>
      </c>
      <c r="AT18" s="31">
        <f ca="1"/>
        <v>-28739.678654131825</v>
      </c>
      <c r="AU18" s="31">
        <v>6.72</v>
      </c>
    </row>
    <row r="19" spans="9:47" ht="20.25" customHeight="1">
      <c r="I19" s="31" t="s">
        <v>112</v>
      </c>
      <c r="J19" s="33"/>
      <c r="Z19" s="33" t="s">
        <v>286</v>
      </c>
      <c r="AA19" s="31">
        <f ca="1">_xlfn.LET(
    _xlpm._alpha_3, K28,
    _xlpm._m_c, K10,
    _xlpm._rho, K13,
    _xlpm._D, K20,
    _xlpm._dP_c, K11,
    _xlpm._alpha_3 * _xlpm._m_c ^ 2 * 10 ^ -3 * _xlpm._rho ^ -1 * _xlpm._D ^ -4 - _xlpm._dP_c
)</f>
        <v>-471.92636595231141</v>
      </c>
      <c r="AQ19" s="31">
        <f ca="1"/>
        <v>-77277.766863290191</v>
      </c>
      <c r="AR19" s="31">
        <v>-4.08</v>
      </c>
      <c r="AT19" s="31">
        <f ca="1"/>
        <v>-28741.724350529643</v>
      </c>
      <c r="AU19" s="31">
        <v>6.96</v>
      </c>
    </row>
    <row r="20" spans="9:47" ht="20.25" customHeight="1">
      <c r="J20" s="33" t="s">
        <v>111</v>
      </c>
      <c r="K20" s="32">
        <v>0.3</v>
      </c>
      <c r="L20" s="31" t="s">
        <v>110</v>
      </c>
      <c r="Z20" s="33" t="s">
        <v>285</v>
      </c>
      <c r="AA20" s="31">
        <f ca="1">_xlfn.LET(
    _xlpm._alpha_2, K27,
    _xlpm._m_c, K10,
    _xlpm._rho, K13,
    _xlpm._D, K20,
    _xlpm._alpha_2 * _xlpm._m_c ^ 3 * 10 ^ -3 * _xlpm._rho ^ -2 * _xlpm._D ^ -7
)</f>
        <v>5607.0221248111029</v>
      </c>
      <c r="AQ20" s="31">
        <f ca="1"/>
        <v>-72865.884114867702</v>
      </c>
      <c r="AR20" s="31">
        <v>-3.5999999999999996</v>
      </c>
      <c r="AT20" s="31">
        <f ca="1"/>
        <v>-28778.153444084619</v>
      </c>
      <c r="AU20" s="31">
        <v>7.2</v>
      </c>
    </row>
    <row r="21" spans="9:47" ht="20.25" customHeight="1">
      <c r="J21" s="33" t="s">
        <v>105</v>
      </c>
      <c r="K21" s="32">
        <f>prm!D5</f>
        <v>30</v>
      </c>
      <c r="L21" s="31" t="s">
        <v>104</v>
      </c>
      <c r="Q21" s="33" t="s">
        <v>283</v>
      </c>
      <c r="R21" s="31">
        <f>K17</f>
        <v>5.6803866333333337</v>
      </c>
      <c r="S21" s="31" t="s">
        <v>84</v>
      </c>
      <c r="Z21" s="33" t="s">
        <v>282</v>
      </c>
      <c r="AA21" s="31">
        <f ca="1">_xlfn.LET(
    _xlpm._alpha_1, K26,
    _xlpm._m_c, K10,
    _xlpm._rho, K13,
    _xlpm._D, K20,
    _xlpm._alpha_1 * _xlpm._m_c ^ 4 * 10 ^ -3 * _xlpm._rho ^ -3 * _xlpm._D ^ -10
)</f>
        <v>-46571.988715104359</v>
      </c>
      <c r="AQ21" s="31">
        <f ca="1"/>
        <v>-68661.949111582944</v>
      </c>
      <c r="AR21" s="31">
        <v>-3.120000000000001</v>
      </c>
      <c r="AT21" s="31">
        <f ca="1"/>
        <v>-28847.699707514759</v>
      </c>
      <c r="AU21" s="31">
        <v>7.4399999999999995</v>
      </c>
    </row>
    <row r="22" spans="9:47" ht="20.25" customHeight="1">
      <c r="J22" s="33" t="s">
        <v>289</v>
      </c>
      <c r="K22" s="32">
        <f>prm!E5</f>
        <v>0.2</v>
      </c>
      <c r="L22" s="31" t="s">
        <v>84</v>
      </c>
      <c r="Z22" s="33"/>
      <c r="AQ22" s="31">
        <f ca="1"/>
        <v>-64669.225057674848</v>
      </c>
      <c r="AR22" s="31">
        <v>-2.6400000000000006</v>
      </c>
      <c r="AT22" s="31">
        <f ca="1"/>
        <v>-28949.058427841232</v>
      </c>
      <c r="AU22" s="31">
        <v>7.68</v>
      </c>
    </row>
    <row r="23" spans="9:47" ht="20.25" customHeight="1">
      <c r="J23" s="33" t="s">
        <v>287</v>
      </c>
      <c r="K23" s="32">
        <f>prm!F5</f>
        <v>1</v>
      </c>
      <c r="L23" s="31" t="s">
        <v>84</v>
      </c>
      <c r="P23" s="31" t="s">
        <v>281</v>
      </c>
      <c r="Y23" s="31" t="s">
        <v>280</v>
      </c>
      <c r="AQ23" s="31">
        <f ca="1"/>
        <v>-60890.359386233205</v>
      </c>
      <c r="AR23" s="31">
        <v>-2.16</v>
      </c>
      <c r="AT23" s="31">
        <f ca="1"/>
        <v>-29080.886406388407</v>
      </c>
      <c r="AU23" s="31">
        <v>7.92</v>
      </c>
    </row>
    <row r="24" spans="9:47" ht="20.25" customHeight="1">
      <c r="Q24" s="33" t="s">
        <v>279</v>
      </c>
      <c r="R24" s="31" t="b">
        <f ca="1">_xlfn.LET(
    _xlpm._C_f_c, R9,
    _xlpm._C_f_min, R17,
    _xlpm._C_f_max, R21,
    AND(_xlpm._C_f_min &lt;= _xlpm._C_f_c, _xlpm._C_f_c &lt;= _xlpm._C_f_max)
)</f>
        <v>1</v>
      </c>
      <c r="Z24" s="33" t="s">
        <v>278</v>
      </c>
      <c r="AA24" s="31">
        <f>_xlfn.LET(
    _xlpm._N_r, K21,
    _xlpm._R_N_min, K22,
    _xlpm._N_r * _xlpm._R_N_min
)</f>
        <v>6</v>
      </c>
      <c r="AB24" s="31" t="s">
        <v>104</v>
      </c>
      <c r="AQ24" s="31">
        <f ca="1"/>
        <v>-57327.383759198579</v>
      </c>
      <c r="AR24" s="31">
        <v>-1.6799999999999997</v>
      </c>
      <c r="AT24" s="31">
        <f ca="1"/>
        <v>-29241.801958783824</v>
      </c>
      <c r="AU24" s="31">
        <v>8.16</v>
      </c>
    </row>
    <row r="25" spans="9:47" ht="20.25" customHeight="1">
      <c r="I25" s="31" t="s">
        <v>284</v>
      </c>
      <c r="Z25" s="33" t="s">
        <v>277</v>
      </c>
      <c r="AA25" s="31">
        <f>_xlfn.LET(
    _xlpm._N_r, K21,
    _xlpm._R_N_max, K23,
    _xlpm._N_r * _xlpm._R_N_max
)</f>
        <v>30</v>
      </c>
      <c r="AB25" s="31" t="s">
        <v>104</v>
      </c>
      <c r="AQ25" s="31">
        <f ca="1"/>
        <v>-53981.714067362365</v>
      </c>
      <c r="AR25" s="31">
        <v>-1.1999999999999993</v>
      </c>
      <c r="AT25" s="31">
        <f ca="1"/>
        <v>-29430.384914958184</v>
      </c>
      <c r="AU25" s="31">
        <v>8.4</v>
      </c>
    </row>
    <row r="26" spans="9:47" ht="20.25" customHeight="1">
      <c r="J26" s="33" t="s">
        <v>235</v>
      </c>
      <c r="K26" s="32">
        <f>'C1'!E7</f>
        <v>-6.5039412408014396E-3</v>
      </c>
      <c r="Z26" s="33"/>
      <c r="AQ26" s="31">
        <f ca="1"/>
        <v>-50854.150430366775</v>
      </c>
      <c r="AR26" s="31">
        <v>-0.72000000000000064</v>
      </c>
      <c r="AT26" s="31">
        <f ca="1"/>
        <v>-29645.176619145368</v>
      </c>
      <c r="AU26" s="31">
        <v>8.64</v>
      </c>
    </row>
    <row r="27" spans="9:47" ht="20.25" customHeight="1">
      <c r="J27" s="33" t="s">
        <v>227</v>
      </c>
      <c r="K27" s="32">
        <f>'C1'!E8</f>
        <v>7.3953802908153773E-2</v>
      </c>
      <c r="Y27" s="31" t="s">
        <v>276</v>
      </c>
      <c r="AQ27" s="31">
        <f ca="1"/>
        <v>-47944.877196704787</v>
      </c>
      <c r="AR27" s="31">
        <v>-0.24000000000000021</v>
      </c>
      <c r="AT27" s="31">
        <f ca="1"/>
        <v>-29884.679929882455</v>
      </c>
      <c r="AU27" s="31">
        <v>8.879999999999999</v>
      </c>
    </row>
    <row r="28" spans="9:47" ht="20.25" customHeight="1">
      <c r="J28" s="33" t="s">
        <v>216</v>
      </c>
      <c r="K28" s="32">
        <f>'C1'!E9</f>
        <v>-0.35664959080564745</v>
      </c>
      <c r="Z28" s="33" t="s">
        <v>337</v>
      </c>
      <c r="AA28" s="31" cm="1">
        <f t="array" aca="1" ref="AA28" ca="1">_xlfn.LET(
    _xlpm._coefficient, TRANSPOSE(AA17:AA21),
    _xlpm._N, AA24,
    SUM(_xlpm._coefficient * _xlfn.HSTACK(_xlpm._N ^ {4,3,2,1}, 1))
)</f>
        <v>-28951.926935248819</v>
      </c>
      <c r="AQ28" s="31">
        <f ca="1"/>
        <v>-45253.462943720231</v>
      </c>
      <c r="AR28" s="31">
        <v>0.24000000000000021</v>
      </c>
      <c r="AT28" s="31">
        <f ca="1"/>
        <v>-30147.359220009668</v>
      </c>
      <c r="AU28" s="31">
        <v>9.120000000000001</v>
      </c>
    </row>
    <row r="29" spans="9:47" ht="20.25" customHeight="1">
      <c r="J29" s="33" t="s">
        <v>207</v>
      </c>
      <c r="K29" s="32">
        <f>'C1'!E10</f>
        <v>0.18566633997122894</v>
      </c>
      <c r="Z29" s="33" t="s">
        <v>338</v>
      </c>
      <c r="AA29" s="31" cm="1">
        <f t="array" aca="1" ref="AA29" ca="1">_xlfn.LET(
    _xlpm._coefficient, TRANSPOSE(AA17:AA21),
    _xlpm._N, AA25,
    SUM(_xlpm._coefficient * _xlfn.HSTACK(_xlpm._N ^ {4,3,2,1}, 1))
)</f>
        <v>131012.12387364742</v>
      </c>
      <c r="AQ29" s="31">
        <f ca="1"/>
        <v>-42778.860477607741</v>
      </c>
      <c r="AR29" s="31">
        <v>0.71999999999999886</v>
      </c>
      <c r="AT29" s="31">
        <f ca="1"/>
        <v>-30431.640376670417</v>
      </c>
      <c r="AU29" s="31">
        <v>9.36</v>
      </c>
    </row>
    <row r="30" spans="9:47" ht="20.25" customHeight="1">
      <c r="J30" s="33" t="s">
        <v>203</v>
      </c>
      <c r="K30" s="32">
        <f>'C1'!E11</f>
        <v>5.3703258323470777</v>
      </c>
      <c r="Z30" s="33" t="s">
        <v>275</v>
      </c>
      <c r="AA30" s="31" t="b">
        <f ca="1">_xlfn.LET(
    _xlpm._f_N_min, AA28,
    _xlpm._f_N_max, AA29,
    _xlpm._f_N_min * _xlpm._f_N_max &gt;= 0
)</f>
        <v>0</v>
      </c>
      <c r="AQ30" s="31">
        <f ca="1"/>
        <v>-40519.406833412737</v>
      </c>
      <c r="AR30" s="31">
        <v>1.1999999999999993</v>
      </c>
      <c r="AT30" s="31">
        <f ca="1"/>
        <v>-30735.910801311307</v>
      </c>
      <c r="AU30" s="31">
        <v>9.6</v>
      </c>
    </row>
    <row r="31" spans="9:47" ht="20.25" customHeight="1">
      <c r="Z31" s="33" t="s">
        <v>273</v>
      </c>
      <c r="AA31" s="31" t="b">
        <f ca="1">_xlfn.LET(
    _xlpm._f_N_min, AA28,
    _xlpm._f_N_max, AA29,
    _xlpm._epsilon, K37,
    _xlpm._f_N_min_is_one_of_the_roots, ABS(_xlpm._f_N_min) &lt;= _xlpm._epsilon,
    _xlpm._f_N_max_is_one_of_the_roots, ABS(_xlpm._f_N_max) &lt;= _xlpm._epsilon,
    _xlfn.XOR(
        _xlpm._f_N_min_is_one_of_the_roots,
        _xlpm._f_N_max_is_one_of_the_roots
    )
)</f>
        <v>0</v>
      </c>
      <c r="AQ31" s="31">
        <f ca="1"/>
        <v>-38472.823275031456</v>
      </c>
      <c r="AR31" s="31">
        <v>1.6799999999999997</v>
      </c>
      <c r="AT31" s="31">
        <f ca="1"/>
        <v>-31058.519409682078</v>
      </c>
      <c r="AU31" s="31">
        <v>9.84</v>
      </c>
    </row>
    <row r="32" spans="9:47" ht="20.25" customHeight="1">
      <c r="J32" s="33" t="s">
        <v>176</v>
      </c>
      <c r="K32" s="32" t="b">
        <f>'C1'!E18</f>
        <v>1</v>
      </c>
      <c r="Z32" s="33" t="s">
        <v>270</v>
      </c>
      <c r="AA32" s="31" t="e">
        <f ca="1">_xlfn.LET(
    _xlpm._f_N_min, AA28,
    _xlpm._f_N_max, AA29,
    _xlpm._epsilon, K37,
    _xlpm._f_N_min_is_one_of_the_roots, ABS(_xlpm._f_N_min) &lt;= _xlpm._epsilon,
    _xlpm._f_N_max_is_one_of_the_roots, ABS(_xlpm._f_N_max) &lt;= _xlpm._epsilon,
    IF(
        _xlfn.XOR(
            _xlpm._f_N_min_is_one_of_the_roots,
            _xlpm._f_N_max_is_one_of_the_roots
        ),
        IF(
            _xlpm._f_N_min_is_one_of_the_roots,
            _xlpm._f_N_min,
            IF(_xlpm._f_N_max_is_one_of_the_roots, _xlpm._f_N_max, NA())
        ),
        NA()
    )
)</f>
        <v>#N/A</v>
      </c>
      <c r="AQ32" s="31">
        <f ca="1"/>
        <v>-36636.215295210968</v>
      </c>
      <c r="AR32" s="31">
        <v>2.16</v>
      </c>
      <c r="AT32" s="31">
        <f ca="1"/>
        <v>-31397.776631835681</v>
      </c>
      <c r="AU32" s="31">
        <v>10.08</v>
      </c>
    </row>
    <row r="33" spans="9:47" ht="20.25" customHeight="1">
      <c r="J33" s="33" t="s">
        <v>172</v>
      </c>
      <c r="K33" s="32">
        <f>'C1'!E19</f>
        <v>0.28465364146978933</v>
      </c>
      <c r="L33" s="31" t="s">
        <v>50</v>
      </c>
      <c r="AQ33" s="31">
        <f ca="1"/>
        <v>-35006.072615549136</v>
      </c>
      <c r="AR33" s="31">
        <v>2.6400000000000006</v>
      </c>
      <c r="AT33" s="31">
        <f ca="1"/>
        <v>-31751.954412128245</v>
      </c>
      <c r="AU33" s="31">
        <v>10.32</v>
      </c>
    </row>
    <row r="34" spans="9:47" ht="20.25" customHeight="1">
      <c r="Y34" s="31" t="s">
        <v>268</v>
      </c>
      <c r="AQ34" s="31">
        <f ca="1"/>
        <v>-33578.269186494625</v>
      </c>
      <c r="AR34" s="31">
        <v>3.1199999999999992</v>
      </c>
      <c r="AT34" s="31">
        <f ca="1"/>
        <v>-32119.286209219026</v>
      </c>
      <c r="AU34" s="31">
        <v>10.559999999999999</v>
      </c>
    </row>
    <row r="35" spans="9:47" ht="20.25" customHeight="1">
      <c r="I35" s="31" t="s">
        <v>274</v>
      </c>
      <c r="Z35" s="33" t="s">
        <v>267</v>
      </c>
      <c r="AA35" s="31" t="b">
        <f ca="1">ISNUMBER(AA36)</f>
        <v>1</v>
      </c>
      <c r="AQ35" s="31">
        <f ca="1"/>
        <v>-32348.063187346903</v>
      </c>
      <c r="AR35" s="31">
        <v>3.5999999999999996</v>
      </c>
      <c r="AT35" s="31">
        <f ca="1"/>
        <v>-32497.966996070536</v>
      </c>
      <c r="AU35" s="31">
        <v>10.8</v>
      </c>
    </row>
    <row r="36" spans="9:47" ht="20.25" customHeight="1">
      <c r="J36" s="33" t="s">
        <v>272</v>
      </c>
      <c r="K36" s="32">
        <f>10^3</f>
        <v>1000</v>
      </c>
      <c r="L36" s="31" t="s">
        <v>271</v>
      </c>
      <c r="Z36" s="33" t="s">
        <v>266</v>
      </c>
      <c r="AA36" s="31" cm="1">
        <f t="array" aca="1" ref="AA36" ca="1">_xlfn.LET(
    _xlpm._a4, AA17,
    _xlpm._a3, AA18,
    _xlpm._a2, AA19,
    _xlpm._a1, AA20,
    _xlpm._a0, AA21,
    _xlpm._N_min, AA24,
    _xlpm._N_max, AA25,
    _xlpm._n_iteration_max, K36,
    _xlpm._epsilon, K37,
    _bisection.quartic_equation(
        _xlpm._a4,
        _xlpm._a3,
        _xlpm._a2,
        _xlpm._a1,
        _xlpm._a0,
        _xlpm._N_min,
        _xlpm._N_max,
        _xlpm._n_iteration_max,
        _xlpm._epsilon
    )
)</f>
        <v>24.13189297914505</v>
      </c>
      <c r="AB36" s="31" t="s">
        <v>104</v>
      </c>
      <c r="AQ36" s="31">
        <f ca="1"/>
        <v>-31310.097026256284</v>
      </c>
      <c r="AR36" s="31">
        <v>4.0799999999999983</v>
      </c>
      <c r="AT36" s="31">
        <f ca="1"/>
        <v>-32886.153259948369</v>
      </c>
      <c r="AU36" s="31">
        <v>11.04</v>
      </c>
    </row>
    <row r="37" spans="9:47" ht="20.25" customHeight="1">
      <c r="J37" s="33" t="s">
        <v>269</v>
      </c>
      <c r="K37" s="32">
        <f>10^-3</f>
        <v>1E-3</v>
      </c>
      <c r="AQ37" s="31">
        <f ca="1"/>
        <v>-30458.397340223848</v>
      </c>
      <c r="AR37" s="31">
        <v>4.5599999999999987</v>
      </c>
      <c r="AT37" s="31">
        <f ca="1"/>
        <v>-33281.963002421377</v>
      </c>
      <c r="AU37" s="31">
        <v>11.28</v>
      </c>
    </row>
    <row r="38" spans="9:47" ht="20.25" customHeight="1">
      <c r="AQ38" s="31">
        <f ca="1"/>
        <v>-29786.374995101512</v>
      </c>
      <c r="AR38" s="31">
        <v>5.0399999999999991</v>
      </c>
      <c r="AT38" s="31">
        <f ca="1"/>
        <v>-33683.475739361529</v>
      </c>
      <c r="AU38" s="31">
        <v>11.52</v>
      </c>
    </row>
    <row r="39" spans="9:47" ht="20.25" customHeight="1">
      <c r="AQ39" s="31">
        <f ca="1"/>
        <v>-29286.825085591991</v>
      </c>
      <c r="AR39" s="31">
        <v>5.52</v>
      </c>
      <c r="AT39" s="31">
        <f ca="1"/>
        <v>-34088.732500943996</v>
      </c>
      <c r="AU39" s="31">
        <v>11.76</v>
      </c>
    </row>
    <row r="40" spans="9:47" ht="20.25" customHeight="1">
      <c r="AQ40" s="31">
        <f ca="1"/>
        <v>-28951.926935248819</v>
      </c>
      <c r="AR40" s="31">
        <v>6</v>
      </c>
      <c r="AT40" s="31">
        <f ca="1"/>
        <v>-34495.735831647158</v>
      </c>
      <c r="AU40" s="31">
        <v>12</v>
      </c>
    </row>
    <row r="41" spans="9:47" ht="20.25" customHeight="1">
      <c r="AQ41" s="31">
        <f ca="1"/>
        <v>-28773.244096476315</v>
      </c>
      <c r="AR41" s="31">
        <v>6.48</v>
      </c>
      <c r="AT41" s="31">
        <f ca="1"/>
        <v>-34902.449790252467</v>
      </c>
      <c r="AU41" s="31">
        <v>12.24</v>
      </c>
    </row>
    <row r="42" spans="9:47" ht="20.25" customHeight="1">
      <c r="AQ42" s="31">
        <f ca="1"/>
        <v>-28741.72435052965</v>
      </c>
      <c r="AR42" s="31">
        <v>6.9600000000000009</v>
      </c>
      <c r="AT42" s="31">
        <f ca="1"/>
        <v>-35306.799949844681</v>
      </c>
      <c r="AU42" s="31">
        <v>12.48</v>
      </c>
    </row>
    <row r="43" spans="9:47" ht="20.25" customHeight="1">
      <c r="AQ43" s="31">
        <f ca="1"/>
        <v>-28847.699707514756</v>
      </c>
      <c r="AR43" s="31">
        <v>7.4399999999999977</v>
      </c>
      <c r="AT43" s="31">
        <f ca="1"/>
        <v>-35706.673397811632</v>
      </c>
      <c r="AU43" s="31">
        <v>12.719999999999999</v>
      </c>
    </row>
    <row r="44" spans="9:47" ht="20.25" customHeight="1">
      <c r="AQ44" s="31">
        <f ca="1"/>
        <v>-29080.88640638841</v>
      </c>
      <c r="AR44" s="31">
        <v>7.9200000000000017</v>
      </c>
      <c r="AT44" s="31">
        <f ca="1"/>
        <v>-36099.918735844396</v>
      </c>
      <c r="AU44" s="31">
        <v>12.96</v>
      </c>
    </row>
    <row r="45" spans="9:47" ht="20.25" customHeight="1">
      <c r="AQ45" s="31">
        <f ca="1"/>
        <v>-29430.38491495818</v>
      </c>
      <c r="AR45" s="31">
        <v>8.3999999999999986</v>
      </c>
      <c r="AT45" s="31">
        <f ca="1"/>
        <v>-36484.346079937168</v>
      </c>
      <c r="AU45" s="31">
        <v>13.2</v>
      </c>
    </row>
    <row r="46" spans="9:47" ht="20.25" customHeight="1">
      <c r="AQ46" s="31">
        <f ca="1"/>
        <v>-29884.679929882455</v>
      </c>
      <c r="AR46" s="31">
        <v>8.879999999999999</v>
      </c>
      <c r="AT46" s="31">
        <f ca="1"/>
        <v>-36857.727060387369</v>
      </c>
      <c r="AU46" s="31">
        <v>13.44</v>
      </c>
    </row>
    <row r="47" spans="9:47" ht="20.25" customHeight="1">
      <c r="AQ47" s="31">
        <f ca="1"/>
        <v>-30431.640376670417</v>
      </c>
      <c r="AR47" s="31">
        <v>9.36</v>
      </c>
      <c r="AT47" s="31">
        <f ca="1"/>
        <v>-37217.794821795535</v>
      </c>
      <c r="AU47" s="31">
        <v>13.68</v>
      </c>
    </row>
    <row r="48" spans="9:47" ht="20.25" customHeight="1">
      <c r="AQ48" s="31">
        <f ca="1"/>
        <v>-31058.519409682078</v>
      </c>
      <c r="AR48" s="31">
        <v>9.84</v>
      </c>
      <c r="AT48" s="31">
        <f ca="1"/>
        <v>-37562.244023065454</v>
      </c>
      <c r="AU48" s="31">
        <v>13.92</v>
      </c>
    </row>
    <row r="49" spans="43:47" ht="20.25" customHeight="1">
      <c r="AQ49" s="31">
        <f ca="1"/>
        <v>-31751.954412128245</v>
      </c>
      <c r="AR49" s="31">
        <v>10.32</v>
      </c>
      <c r="AT49" s="31">
        <f ca="1"/>
        <v>-37888.730837404051</v>
      </c>
      <c r="AU49" s="31">
        <v>14.16</v>
      </c>
    </row>
    <row r="50" spans="43:47" ht="20.25" customHeight="1">
      <c r="AQ50" s="31">
        <f ca="1"/>
        <v>-32497.966996070536</v>
      </c>
      <c r="AR50" s="31">
        <v>10.8</v>
      </c>
      <c r="AT50" s="31">
        <f ca="1"/>
        <v>-38194.872952321377</v>
      </c>
      <c r="AU50" s="31">
        <v>14.4</v>
      </c>
    </row>
    <row r="51" spans="43:47" ht="20.25" customHeight="1">
      <c r="AQ51" s="31">
        <f ca="1"/>
        <v>-33281.963002421369</v>
      </c>
      <c r="AR51" s="31">
        <v>11.280000000000001</v>
      </c>
      <c r="AT51" s="31">
        <f ca="1"/>
        <v>-38478.249569630752</v>
      </c>
      <c r="AU51" s="31">
        <v>14.64</v>
      </c>
    </row>
    <row r="52" spans="43:47" ht="20.25" customHeight="1">
      <c r="AQ52" s="31">
        <f ca="1"/>
        <v>-34088.732500944003</v>
      </c>
      <c r="AR52" s="31">
        <v>11.759999999999998</v>
      </c>
      <c r="AT52" s="31">
        <f ca="1"/>
        <v>-38736.401405448611</v>
      </c>
      <c r="AU52" s="31">
        <v>14.879999999999999</v>
      </c>
    </row>
    <row r="53" spans="43:47" ht="20.25" customHeight="1">
      <c r="AQ53" s="31">
        <f ca="1"/>
        <v>-34902.449790252489</v>
      </c>
      <c r="AR53" s="31">
        <v>12.239999999999998</v>
      </c>
      <c r="AT53" s="31">
        <f ca="1"/>
        <v>-38966.830690194583</v>
      </c>
      <c r="AU53" s="31">
        <v>15.12</v>
      </c>
    </row>
    <row r="54" spans="43:47" ht="20.25" customHeight="1">
      <c r="AQ54" s="31">
        <f ca="1"/>
        <v>-35706.673397811632</v>
      </c>
      <c r="AR54" s="31">
        <v>12.719999999999999</v>
      </c>
      <c r="AT54" s="31">
        <f ca="1"/>
        <v>-39167.001168591458</v>
      </c>
      <c r="AU54" s="31">
        <v>15.36</v>
      </c>
    </row>
    <row r="55" spans="43:47" ht="20.25" customHeight="1">
      <c r="AQ55" s="31">
        <f ca="1"/>
        <v>-36484.346079937168</v>
      </c>
      <c r="AR55" s="31">
        <v>13.2</v>
      </c>
      <c r="AT55" s="31">
        <f ca="1"/>
        <v>-39334.338099665234</v>
      </c>
      <c r="AU55" s="31">
        <v>15.6</v>
      </c>
    </row>
    <row r="56" spans="43:47" ht="20.25" customHeight="1">
      <c r="AQ56" s="31">
        <f ca="1"/>
        <v>-37217.794821795535</v>
      </c>
      <c r="AR56" s="31">
        <v>13.68</v>
      </c>
      <c r="AT56" s="31">
        <f ca="1"/>
        <v>-39466.228256745053</v>
      </c>
      <c r="AU56" s="31">
        <v>15.84</v>
      </c>
    </row>
    <row r="57" spans="43:47" ht="20.25" customHeight="1">
      <c r="AQ57" s="31">
        <f ca="1"/>
        <v>-37888.730837404051</v>
      </c>
      <c r="AR57" s="31">
        <v>14.16</v>
      </c>
      <c r="AT57" s="31">
        <f ca="1"/>
        <v>-39560.019927463254</v>
      </c>
      <c r="AU57" s="31">
        <v>16.079999999999998</v>
      </c>
    </row>
    <row r="58" spans="43:47" ht="20.25" customHeight="1">
      <c r="AQ58" s="31">
        <f ca="1"/>
        <v>-38478.249569630752</v>
      </c>
      <c r="AR58" s="31">
        <v>14.64</v>
      </c>
      <c r="AT58" s="31">
        <f ca="1"/>
        <v>-39613.022913755332</v>
      </c>
      <c r="AU58" s="31">
        <v>16.32</v>
      </c>
    </row>
    <row r="59" spans="43:47" ht="20.25" customHeight="1">
      <c r="AQ59" s="31">
        <f ca="1"/>
        <v>-38966.830690194583</v>
      </c>
      <c r="AR59" s="31">
        <v>15.119999999999997</v>
      </c>
      <c r="AT59" s="31">
        <f ca="1"/>
        <v>-39622.508531859967</v>
      </c>
      <c r="AU59" s="31">
        <v>16.559999999999999</v>
      </c>
    </row>
    <row r="60" spans="43:47" ht="20.25" customHeight="1">
      <c r="AQ60" s="31">
        <f ca="1"/>
        <v>-39334.338099665234</v>
      </c>
      <c r="AR60" s="31">
        <v>15.599999999999998</v>
      </c>
      <c r="AT60" s="31">
        <f ca="1"/>
        <v>-39585.709612318991</v>
      </c>
      <c r="AU60" s="31">
        <v>16.799999999999997</v>
      </c>
    </row>
    <row r="61" spans="43:47" ht="20.25" customHeight="1">
      <c r="AQ61" s="31">
        <f ca="1"/>
        <v>-39560.019927463254</v>
      </c>
      <c r="AR61" s="31">
        <v>16.079999999999998</v>
      </c>
      <c r="AT61" s="31">
        <f ca="1"/>
        <v>-39499.820499977468</v>
      </c>
      <c r="AU61" s="31">
        <v>17.04</v>
      </c>
    </row>
    <row r="62" spans="43:47" ht="20.25" customHeight="1">
      <c r="AQ62" s="31">
        <f ca="1"/>
        <v>-39622.508531859967</v>
      </c>
      <c r="AR62" s="31">
        <v>16.559999999999999</v>
      </c>
      <c r="AT62" s="31">
        <f ca="1"/>
        <v>-39361.997053983614</v>
      </c>
      <c r="AU62" s="31">
        <v>17.28</v>
      </c>
    </row>
    <row r="63" spans="43:47" ht="20.25" customHeight="1">
      <c r="AQ63" s="31">
        <f ca="1"/>
        <v>-39499.820499977468</v>
      </c>
      <c r="AR63" s="31">
        <v>17.04</v>
      </c>
      <c r="AT63" s="31">
        <f ca="1"/>
        <v>-39169.356647788773</v>
      </c>
      <c r="AU63" s="31">
        <v>17.52</v>
      </c>
    </row>
    <row r="64" spans="43:47" ht="20.25" customHeight="1">
      <c r="AQ64" s="31">
        <f ca="1"/>
        <v>-39169.356647788773</v>
      </c>
      <c r="AR64" s="31">
        <v>17.52</v>
      </c>
      <c r="AT64" s="31">
        <f ca="1"/>
        <v>-38918.978169147573</v>
      </c>
      <c r="AU64" s="31">
        <v>17.759999999999998</v>
      </c>
    </row>
    <row r="65" spans="43:47" ht="20.25" customHeight="1">
      <c r="AQ65" s="31">
        <f ca="1"/>
        <v>-38607.902020117639</v>
      </c>
      <c r="AR65" s="31">
        <v>18</v>
      </c>
      <c r="AT65" s="31">
        <f ca="1"/>
        <v>-38607.902020117639</v>
      </c>
      <c r="AU65" s="31">
        <v>18</v>
      </c>
    </row>
    <row r="66" spans="43:47" ht="20.25" customHeight="1">
      <c r="AQ66" s="31">
        <f ca="1"/>
        <v>-37791.625890638585</v>
      </c>
      <c r="AR66" s="31">
        <v>18.48</v>
      </c>
      <c r="AT66" s="31">
        <f ca="1"/>
        <v>-38233.13011705994</v>
      </c>
      <c r="AU66" s="31">
        <v>18.240000000000002</v>
      </c>
    </row>
    <row r="67" spans="43:47" ht="20.25" customHeight="1">
      <c r="AQ67" s="31">
        <f ca="1"/>
        <v>-36696.081761877002</v>
      </c>
      <c r="AR67" s="31">
        <v>18.96</v>
      </c>
      <c r="AT67" s="31">
        <f ca="1"/>
        <v>-37791.625890638585</v>
      </c>
      <c r="AU67" s="31">
        <v>18.48</v>
      </c>
    </row>
    <row r="68" spans="43:47" ht="20.25" customHeight="1">
      <c r="AQ68" s="31">
        <f ca="1"/>
        <v>-35296.207365209098</v>
      </c>
      <c r="AR68" s="31">
        <v>19.439999999999998</v>
      </c>
      <c r="AT68" s="31">
        <f ca="1"/>
        <v>-37280.314285820779</v>
      </c>
      <c r="AU68" s="31">
        <v>18.72</v>
      </c>
    </row>
    <row r="69" spans="43:47" ht="20.25" customHeight="1">
      <c r="AQ69" s="31">
        <f ca="1"/>
        <v>-33566.324660861857</v>
      </c>
      <c r="AR69" s="31">
        <v>19.919999999999998</v>
      </c>
      <c r="AT69" s="31">
        <f ca="1"/>
        <v>-36696.081761877002</v>
      </c>
      <c r="AU69" s="31">
        <v>18.96</v>
      </c>
    </row>
    <row r="70" spans="43:47" ht="20.25" customHeight="1">
      <c r="AQ70" s="31">
        <f ca="1"/>
        <v>-31480.139837913077</v>
      </c>
      <c r="AR70" s="31">
        <v>20.399999999999999</v>
      </c>
      <c r="AT70" s="31">
        <f ca="1"/>
        <v>-36035.776292380855</v>
      </c>
      <c r="AU70" s="31">
        <v>19.2</v>
      </c>
    </row>
    <row r="71" spans="43:47" ht="20.25" customHeight="1">
      <c r="AQ71" s="31">
        <f ca="1"/>
        <v>-29010.743314291416</v>
      </c>
      <c r="AR71" s="31">
        <v>20.879999999999995</v>
      </c>
      <c r="AT71" s="31">
        <f ca="1"/>
        <v>-35296.207365209098</v>
      </c>
      <c r="AU71" s="31">
        <v>19.439999999999998</v>
      </c>
    </row>
    <row r="72" spans="43:47" ht="20.25" customHeight="1">
      <c r="AQ72" s="31">
        <f ca="1"/>
        <v>-26130.609736776176</v>
      </c>
      <c r="AR72" s="31">
        <v>21.36</v>
      </c>
      <c r="AT72" s="31">
        <f ca="1"/>
        <v>-34474.145982541704</v>
      </c>
      <c r="AU72" s="31">
        <v>19.68</v>
      </c>
    </row>
    <row r="73" spans="43:47" ht="20.25" customHeight="1">
      <c r="AQ73" s="31">
        <f ca="1"/>
        <v>-22811.597980997707</v>
      </c>
      <c r="AR73" s="31">
        <v>21.840000000000003</v>
      </c>
      <c r="AT73" s="31">
        <f ca="1"/>
        <v>-33566.324660861828</v>
      </c>
      <c r="AU73" s="31">
        <v>19.920000000000002</v>
      </c>
    </row>
    <row r="74" spans="43:47" ht="20.25" customHeight="1">
      <c r="AQ74" s="31">
        <f ca="1"/>
        <v>-19024.951151437119</v>
      </c>
      <c r="AR74" s="31">
        <v>22.32</v>
      </c>
      <c r="AT74" s="31">
        <f ca="1"/>
        <v>-32569.437430955797</v>
      </c>
      <c r="AU74" s="31">
        <v>20.16</v>
      </c>
    </row>
    <row r="75" spans="43:47" ht="20.25" customHeight="1">
      <c r="AQ75" s="31">
        <f ca="1"/>
        <v>-14741.296581426104</v>
      </c>
      <c r="AR75" s="31">
        <v>22.799999999999997</v>
      </c>
      <c r="AT75" s="31">
        <f ca="1"/>
        <v>-31480.139837913077</v>
      </c>
      <c r="AU75" s="31">
        <v>20.399999999999999</v>
      </c>
    </row>
    <row r="76" spans="43:47" ht="20.25" customHeight="1">
      <c r="AQ76" s="31">
        <f ca="1"/>
        <v>-9930.6458331473477</v>
      </c>
      <c r="AR76" s="31">
        <v>23.28</v>
      </c>
      <c r="AT76" s="31">
        <f ca="1"/>
        <v>-30295.048941126304</v>
      </c>
      <c r="AU76" s="31">
        <v>20.64</v>
      </c>
    </row>
    <row r="77" spans="43:47" ht="20.25" customHeight="1">
      <c r="AQ77" s="31">
        <f ca="1"/>
        <v>-4562.3946976344232</v>
      </c>
      <c r="AR77" s="31">
        <v>23.759999999999998</v>
      </c>
      <c r="AT77" s="31">
        <f ca="1"/>
        <v>-29010.743314291401</v>
      </c>
      <c r="AU77" s="31">
        <v>20.88</v>
      </c>
    </row>
    <row r="78" spans="43:47" ht="20.25" customHeight="1">
      <c r="AQ78" s="31">
        <f ca="1"/>
        <v>1394.6768052284824</v>
      </c>
      <c r="AR78" s="31">
        <v>24.239999999999995</v>
      </c>
      <c r="AT78" s="31">
        <f ca="1"/>
        <v>-27623.763045407286</v>
      </c>
      <c r="AU78" s="31">
        <v>21.119999999999997</v>
      </c>
    </row>
    <row r="79" spans="43:47" ht="20.25" customHeight="1">
      <c r="AQ79" s="31">
        <f ca="1"/>
        <v>7972.4044267063073</v>
      </c>
      <c r="AR79" s="31">
        <v>24.72</v>
      </c>
      <c r="AT79" s="31">
        <f ca="1"/>
        <v>-26130.609736776176</v>
      </c>
      <c r="AU79" s="31">
        <v>21.36</v>
      </c>
    </row>
    <row r="80" spans="43:47" ht="20.25" customHeight="1">
      <c r="AQ80" s="31">
        <f ca="1"/>
        <v>15203.2396892131</v>
      </c>
      <c r="AR80" s="31">
        <v>25.200000000000003</v>
      </c>
      <c r="AT80" s="31">
        <f ca="1"/>
        <v>-24527.746505003503</v>
      </c>
      <c r="AU80" s="31">
        <v>21.6</v>
      </c>
    </row>
    <row r="81" spans="43:47" ht="20.25" customHeight="1">
      <c r="AQ81" s="31">
        <f ca="1"/>
        <v>23120.249886312049</v>
      </c>
      <c r="AR81" s="31">
        <v>25.68</v>
      </c>
      <c r="AT81" s="31">
        <f ca="1"/>
        <v>-22811.59798099778</v>
      </c>
      <c r="AU81" s="31">
        <v>21.84</v>
      </c>
    </row>
    <row r="82" spans="43:47" ht="20.25" customHeight="1">
      <c r="AQ82" s="31">
        <f ca="1"/>
        <v>31757.118082715773</v>
      </c>
      <c r="AR82" s="31">
        <v>26.159999999999997</v>
      </c>
      <c r="AT82" s="31">
        <f ca="1"/>
        <v>-20978.550309970662</v>
      </c>
      <c r="AU82" s="31">
        <v>22.08</v>
      </c>
    </row>
    <row r="83" spans="43:47" ht="20.25" customHeight="1">
      <c r="AQ83" s="31">
        <f ca="1"/>
        <v>41148.143114286031</v>
      </c>
      <c r="AR83" s="31">
        <v>26.64</v>
      </c>
      <c r="AT83" s="31">
        <f ca="1"/>
        <v>-19024.951151437119</v>
      </c>
      <c r="AU83" s="31">
        <v>22.32</v>
      </c>
    </row>
    <row r="84" spans="43:47" ht="20.25" customHeight="1">
      <c r="AQ84" s="31">
        <f ca="1"/>
        <v>51328.239588033342</v>
      </c>
      <c r="AR84" s="31">
        <v>27.119999999999997</v>
      </c>
      <c r="AT84" s="31">
        <f ca="1"/>
        <v>-16947.109679215173</v>
      </c>
      <c r="AU84" s="31">
        <v>22.56</v>
      </c>
    </row>
    <row r="85" spans="43:47" ht="20.25" customHeight="1">
      <c r="AQ85" s="31">
        <f ca="1"/>
        <v>62332.937882118211</v>
      </c>
      <c r="AR85" s="31">
        <v>27.6</v>
      </c>
      <c r="AT85" s="31">
        <f ca="1"/>
        <v>-14741.296581426075</v>
      </c>
      <c r="AU85" s="31">
        <v>22.8</v>
      </c>
    </row>
    <row r="86" spans="43:47" ht="20.25" customHeight="1">
      <c r="AQ86" s="31">
        <f ca="1"/>
        <v>74198.384145849559</v>
      </c>
      <c r="AR86" s="31">
        <v>28.08</v>
      </c>
      <c r="AT86" s="31">
        <f ca="1"/>
        <v>-12403.744060494289</v>
      </c>
      <c r="AU86" s="31">
        <v>23.04</v>
      </c>
    </row>
    <row r="87" spans="43:47" ht="20.25" customHeight="1">
      <c r="AQ87" s="31">
        <f ca="1"/>
        <v>86961.340299686039</v>
      </c>
      <c r="AR87" s="31">
        <v>28.560000000000002</v>
      </c>
      <c r="AT87" s="31">
        <f ca="1"/>
        <v>-9930.6458331473477</v>
      </c>
      <c r="AU87" s="31">
        <v>23.28</v>
      </c>
    </row>
    <row r="88" spans="43:47" ht="20.25" customHeight="1">
      <c r="AQ88" s="31">
        <f ca="1"/>
        <v>100659.18403523506</v>
      </c>
      <c r="AR88" s="31">
        <v>29.04</v>
      </c>
      <c r="AT88" s="31">
        <f ca="1"/>
        <v>-7318.1571304160534</v>
      </c>
      <c r="AU88" s="31">
        <v>23.52</v>
      </c>
    </row>
    <row r="89" spans="43:47" ht="20.25" customHeight="1">
      <c r="AQ89" s="31">
        <f ca="1"/>
        <v>115329.90881525338</v>
      </c>
      <c r="AR89" s="31">
        <v>29.519999999999996</v>
      </c>
      <c r="AT89" s="31">
        <f ca="1"/>
        <v>-4562.3946976344232</v>
      </c>
      <c r="AU89" s="31">
        <v>23.759999999999998</v>
      </c>
    </row>
    <row r="90" spans="43:47" ht="20.25" customHeight="1">
      <c r="AQ90" s="31">
        <f ca="1"/>
        <v>131012.12387364742</v>
      </c>
      <c r="AR90" s="31">
        <v>30</v>
      </c>
      <c r="AT90" s="31">
        <f ca="1"/>
        <v>-1659.4367944394544</v>
      </c>
      <c r="AU90" s="31">
        <v>24</v>
      </c>
    </row>
    <row r="91" spans="43:47" ht="20.25" customHeight="1">
      <c r="AQ91" s="31">
        <f ca="1"/>
        <v>147745.05421547196</v>
      </c>
      <c r="AR91" s="31">
        <v>30.479999999999997</v>
      </c>
      <c r="AT91" s="31">
        <f ca="1"/>
        <v>1394.6768052284824</v>
      </c>
      <c r="AU91" s="31">
        <v>24.24</v>
      </c>
    </row>
    <row r="92" spans="43:47" ht="20.25" customHeight="1">
      <c r="AQ92" s="31">
        <f ca="1"/>
        <v>165568.54061693177</v>
      </c>
      <c r="AR92" s="31">
        <v>30.96</v>
      </c>
      <c r="AT92" s="31">
        <f ca="1"/>
        <v>4603.9448131260506</v>
      </c>
      <c r="AU92" s="31">
        <v>24.48</v>
      </c>
    </row>
    <row r="93" spans="43:47" ht="20.25" customHeight="1">
      <c r="AQ93" s="31">
        <f ca="1"/>
        <v>184523.03962538004</v>
      </c>
      <c r="AR93" s="31">
        <v>31.439999999999998</v>
      </c>
      <c r="AT93" s="31">
        <f ca="1"/>
        <v>7972.4044267063073</v>
      </c>
      <c r="AU93" s="31">
        <v>24.72</v>
      </c>
    </row>
    <row r="94" spans="43:47" ht="20.25" customHeight="1">
      <c r="AQ94" s="31">
        <f ca="1"/>
        <v>204649.62355932008</v>
      </c>
      <c r="AR94" s="31">
        <v>31.92</v>
      </c>
      <c r="AT94" s="31">
        <f ca="1"/>
        <v>11504.131329119664</v>
      </c>
      <c r="AU94" s="31">
        <v>24.96</v>
      </c>
    </row>
    <row r="95" spans="43:47" ht="20.25" customHeight="1">
      <c r="AQ95" s="31">
        <f ca="1"/>
        <v>225989.9805084031</v>
      </c>
      <c r="AR95" s="31">
        <v>32.4</v>
      </c>
      <c r="AT95" s="31">
        <f ca="1"/>
        <v>15203.239689213042</v>
      </c>
      <c r="AU95" s="31">
        <v>25.2</v>
      </c>
    </row>
    <row r="96" spans="43:47" ht="20.25" customHeight="1">
      <c r="AQ96" s="31">
        <f ca="1"/>
        <v>248586.41433343047</v>
      </c>
      <c r="AR96" s="31">
        <v>32.879999999999995</v>
      </c>
      <c r="AT96" s="31">
        <f ca="1"/>
        <v>19073.88216153028</v>
      </c>
      <c r="AU96" s="31">
        <v>25.439999999999998</v>
      </c>
    </row>
    <row r="97" spans="43:47" ht="20.25" customHeight="1">
      <c r="AQ97" s="31">
        <f ca="1"/>
        <v>272481.84466635319</v>
      </c>
      <c r="AR97" s="31">
        <v>33.36</v>
      </c>
      <c r="AT97" s="31">
        <f ca="1"/>
        <v>23120.249886312049</v>
      </c>
      <c r="AU97" s="31">
        <v>25.68</v>
      </c>
    </row>
    <row r="98" spans="43:47" ht="20.25" customHeight="1">
      <c r="AQ98" s="31">
        <f ca="1"/>
        <v>297719.8069102703</v>
      </c>
      <c r="AR98" s="31">
        <v>33.839999999999996</v>
      </c>
      <c r="AT98" s="31">
        <f ca="1"/>
        <v>27346.572489495789</v>
      </c>
      <c r="AU98" s="31">
        <v>25.919999999999998</v>
      </c>
    </row>
    <row r="99" spans="43:47" ht="20.25" customHeight="1">
      <c r="AQ99" s="31">
        <f ca="1"/>
        <v>324344.45223943057</v>
      </c>
      <c r="AR99" s="31">
        <v>34.32</v>
      </c>
      <c r="AT99" s="31">
        <f ca="1"/>
        <v>31757.118082715802</v>
      </c>
      <c r="AU99" s="31">
        <v>26.16</v>
      </c>
    </row>
    <row r="100" spans="43:47" ht="20.25" customHeight="1">
      <c r="AQ100" s="31">
        <f ca="1"/>
        <v>352400.54759923142</v>
      </c>
      <c r="AR100" s="31">
        <v>34.799999999999997</v>
      </c>
      <c r="AT100" s="31">
        <f ca="1"/>
        <v>36356.193263303219</v>
      </c>
      <c r="AU100" s="31">
        <v>26.4</v>
      </c>
    </row>
    <row r="101" spans="43:47" ht="20.25" customHeight="1">
      <c r="AQ101" s="31">
        <f ca="1"/>
        <v>381933.4757062209</v>
      </c>
      <c r="AR101" s="31">
        <v>35.28</v>
      </c>
      <c r="AT101" s="31">
        <f ca="1"/>
        <v>41148.143114286031</v>
      </c>
      <c r="AU101" s="31">
        <v>26.64</v>
      </c>
    </row>
    <row r="102" spans="43:47" ht="20.25" customHeight="1">
      <c r="AQ102" s="31">
        <f ca="1"/>
        <v>412989.23504809465</v>
      </c>
      <c r="AR102" s="31">
        <v>35.76</v>
      </c>
      <c r="AT102" s="31">
        <f ca="1"/>
        <v>46137.351204388797</v>
      </c>
      <c r="AU102" s="31">
        <v>26.88</v>
      </c>
    </row>
    <row r="103" spans="43:47" ht="20.25" customHeight="1">
      <c r="AQ103" s="31">
        <f ca="1"/>
        <v>445614.43988369819</v>
      </c>
      <c r="AR103" s="31">
        <v>36.239999999999995</v>
      </c>
      <c r="AT103" s="31">
        <f ca="1"/>
        <v>51328.239588033342</v>
      </c>
      <c r="AU103" s="31">
        <v>27.119999999999997</v>
      </c>
    </row>
    <row r="104" spans="43:47" ht="20.25" customHeight="1">
      <c r="AQ104" s="31">
        <f ca="1"/>
        <v>479856.32024302677</v>
      </c>
      <c r="AR104" s="31">
        <v>36.72</v>
      </c>
      <c r="AT104" s="31">
        <f ca="1"/>
        <v>56725.268805338179</v>
      </c>
      <c r="AU104" s="31">
        <v>27.36</v>
      </c>
    </row>
    <row r="105" spans="43:47" ht="20.25" customHeight="1">
      <c r="AQ105" s="31">
        <f ca="1"/>
        <v>515762.72192722344</v>
      </c>
      <c r="AR105" s="31">
        <v>37.199999999999996</v>
      </c>
      <c r="AT105" s="31">
        <f ca="1"/>
        <v>62332.937882118124</v>
      </c>
      <c r="AU105" s="31">
        <v>27.599999999999998</v>
      </c>
    </row>
    <row r="106" spans="43:47" ht="20.25" customHeight="1">
      <c r="AQ106" s="31">
        <f ca="1"/>
        <v>553382.10650858213</v>
      </c>
      <c r="AR106" s="31">
        <v>37.68</v>
      </c>
      <c r="AT106" s="31">
        <f ca="1"/>
        <v>68155.784329885762</v>
      </c>
      <c r="AU106" s="31">
        <v>27.84</v>
      </c>
    </row>
    <row r="107" spans="43:47" ht="20.25" customHeight="1">
      <c r="AQ107" s="31">
        <f ca="1"/>
        <v>592763.55133054394</v>
      </c>
      <c r="AR107" s="31">
        <v>38.159999999999997</v>
      </c>
      <c r="AT107" s="31">
        <f ca="1"/>
        <v>74198.384145849559</v>
      </c>
      <c r="AU107" s="31">
        <v>28.08</v>
      </c>
    </row>
    <row r="108" spans="43:47" ht="20.25" customHeight="1">
      <c r="AQ108" s="31">
        <f ca="1"/>
        <v>633956.74950770184</v>
      </c>
      <c r="AR108" s="31">
        <v>38.64</v>
      </c>
      <c r="AT108" s="31">
        <f ca="1"/>
        <v>80465.351812915498</v>
      </c>
      <c r="AU108" s="31">
        <v>28.32</v>
      </c>
    </row>
    <row r="109" spans="43:47" ht="20.25" customHeight="1">
      <c r="AQ109" s="31">
        <f ca="1"/>
        <v>677012.0099257949</v>
      </c>
      <c r="AR109" s="31">
        <v>39.119999999999997</v>
      </c>
      <c r="AT109" s="31">
        <f ca="1"/>
        <v>86961.340299685951</v>
      </c>
      <c r="AU109" s="31">
        <v>28.56</v>
      </c>
    </row>
    <row r="110" spans="43:47" ht="20.25" customHeight="1">
      <c r="AQ110" s="31">
        <f ca="1"/>
        <v>721980.25724171451</v>
      </c>
      <c r="AR110" s="31">
        <v>39.6</v>
      </c>
      <c r="AT110" s="31">
        <f ca="1"/>
        <v>93691.04106046044</v>
      </c>
      <c r="AU110" s="31">
        <v>28.8</v>
      </c>
    </row>
    <row r="111" spans="43:47" ht="20.25" customHeight="1">
      <c r="AQ111" s="31">
        <f ca="1"/>
        <v>768913.03188349772</v>
      </c>
      <c r="AR111" s="31">
        <v>40.08</v>
      </c>
      <c r="AT111" s="31">
        <f ca="1"/>
        <v>100659.18403523506</v>
      </c>
      <c r="AU111" s="31">
        <v>29.04</v>
      </c>
    </row>
    <row r="112" spans="43:47" ht="20.25" customHeight="1">
      <c r="AQ112" s="31">
        <f ca="1"/>
        <v>817862.4900503346</v>
      </c>
      <c r="AR112" s="31">
        <v>40.559999999999995</v>
      </c>
      <c r="AT112" s="31">
        <f ca="1"/>
        <v>107870.53764970269</v>
      </c>
      <c r="AU112" s="31">
        <v>29.279999999999998</v>
      </c>
    </row>
    <row r="113" spans="43:47" ht="20.25" customHeight="1">
      <c r="AQ113" s="31">
        <f ca="1"/>
        <v>868881.4037125617</v>
      </c>
      <c r="AR113" s="31">
        <v>41.04</v>
      </c>
      <c r="AT113" s="31">
        <f ca="1"/>
        <v>115329.90881525353</v>
      </c>
      <c r="AU113" s="31">
        <v>29.52</v>
      </c>
    </row>
    <row r="114" spans="43:47" ht="20.25" customHeight="1">
      <c r="AQ114" s="31">
        <f ca="1"/>
        <v>922023.16061166557</v>
      </c>
      <c r="AR114" s="31">
        <v>41.519999999999996</v>
      </c>
      <c r="AT114" s="31">
        <f ca="1"/>
        <v>123042.14292897383</v>
      </c>
      <c r="AU114" s="31">
        <v>29.759999999999998</v>
      </c>
    </row>
    <row r="115" spans="43:47" ht="20.25" customHeight="1">
      <c r="AQ115" s="31">
        <f ca="1"/>
        <v>977341.76426028262</v>
      </c>
      <c r="AR115" s="31">
        <v>42</v>
      </c>
      <c r="AT115" s="31">
        <f ca="1"/>
        <v>131012.12387364742</v>
      </c>
      <c r="AU115" s="31">
        <v>30</v>
      </c>
    </row>
  </sheetData>
  <sheetProtection algorithmName="SHA-512" hashValue="UcR1Ed58zcE65Mk8wI7BMBcTzn6SiZhXn1zGBVFP9F8zQ+jAbeFZybg/SkFUijG9nkIElQuKBVJlgvkaVP5+Cg==" saltValue="eNiW6SLMMzysMUNIQBOUWQ==" spinCount="100000" sheet="1" objects="1" scenarios="1"/>
  <phoneticPr fontId="2"/>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8447B-1083-4052-B604-A3B77F3FCAA8}">
  <sheetPr codeName="Sheet30">
    <tabColor theme="0" tint="-0.499984740745262"/>
  </sheetPr>
  <dimension ref="A1:AZ115"/>
  <sheetViews>
    <sheetView showGridLines="0" workbookViewId="0"/>
  </sheetViews>
  <sheetFormatPr defaultColWidth="3.375" defaultRowHeight="20.25" customHeight="1"/>
  <cols>
    <col min="1" max="2" width="3.375" style="31"/>
    <col min="3" max="3" width="27.75" style="31" bestFit="1" customWidth="1"/>
    <col min="4" max="4" width="10" style="31" bestFit="1" customWidth="1"/>
    <col min="5" max="5" width="3.75" style="31" bestFit="1" customWidth="1"/>
    <col min="6" max="9" width="3.375" style="31"/>
    <col min="10" max="10" width="38.75" style="31" bestFit="1" customWidth="1"/>
    <col min="11" max="11" width="9.375" style="31" customWidth="1"/>
    <col min="12" max="12" width="5.375" style="31" bestFit="1" customWidth="1"/>
    <col min="13" max="14" width="3.375" style="31"/>
    <col min="15" max="15" width="3.75" style="31" bestFit="1" customWidth="1"/>
    <col min="16" max="16" width="3.75" style="31" customWidth="1"/>
    <col min="17" max="17" width="27.625" style="31" bestFit="1" customWidth="1"/>
    <col min="18" max="18" width="15.875" style="31" customWidth="1"/>
    <col min="19" max="22" width="3.75" style="31" customWidth="1"/>
    <col min="23" max="25" width="3.375" style="31"/>
    <col min="26" max="26" width="21.375" style="31" bestFit="1" customWidth="1"/>
    <col min="27" max="27" width="21" style="31" bestFit="1" customWidth="1"/>
    <col min="28" max="28" width="3.75" style="31" bestFit="1" customWidth="1"/>
    <col min="29" max="42" width="3.375" style="31"/>
    <col min="43" max="44" width="8.125" style="31" customWidth="1"/>
    <col min="45" max="45" width="3.375" style="31" customWidth="1"/>
    <col min="46" max="47" width="8.125" style="31" customWidth="1"/>
    <col min="48" max="49" width="3.375" style="31"/>
    <col min="50" max="50" width="13.125" style="31" bestFit="1" customWidth="1"/>
    <col min="51" max="51" width="13.25" style="31" customWidth="1"/>
    <col min="52" max="52" width="4.25" style="31" bestFit="1" customWidth="1"/>
    <col min="53" max="16384" width="3.375" style="31"/>
  </cols>
  <sheetData>
    <row r="1" spans="1:52" s="40" customFormat="1" ht="20.25" customHeight="1">
      <c r="A1" s="40" t="s">
        <v>509</v>
      </c>
    </row>
    <row r="2" spans="1:52" s="40" customFormat="1" ht="30">
      <c r="B2" s="41" t="str">
        <f ca="1">_xlfn.LET(
    _xlpm._header, "回転数を数値計算で求める",
    _xlpm._numbering, IFERROR(K8,K9),
    _xlpm._header &amp; "（要求条件番号：" &amp; _xlpm._numbering &amp; "）"
)</f>
        <v>回転数を数値計算で求める（要求条件番号：9）</v>
      </c>
    </row>
    <row r="3" spans="1:52" s="39" customFormat="1" ht="7.5" customHeight="1"/>
    <row r="5" spans="1:52" ht="20.25" customHeight="1">
      <c r="B5" s="31" t="s">
        <v>102</v>
      </c>
      <c r="G5" s="31" t="s">
        <v>101</v>
      </c>
      <c r="N5" s="31" t="s">
        <v>303</v>
      </c>
    </row>
    <row r="6" spans="1:52" ht="20.25" customHeight="1">
      <c r="C6" s="31" t="s">
        <v>302</v>
      </c>
      <c r="D6" s="31">
        <f ca="1">AY7</f>
        <v>24.214419901371002</v>
      </c>
      <c r="E6" s="31" t="s">
        <v>104</v>
      </c>
      <c r="H6" s="31" t="s">
        <v>99</v>
      </c>
      <c r="O6" s="31" t="s">
        <v>301</v>
      </c>
      <c r="V6" s="31" t="s">
        <v>300</v>
      </c>
      <c r="AW6" s="31" t="s">
        <v>299</v>
      </c>
    </row>
    <row r="7" spans="1:52" ht="20.25" customHeight="1">
      <c r="I7" s="31" t="s">
        <v>343</v>
      </c>
      <c r="AX7" s="33" t="s">
        <v>266</v>
      </c>
      <c r="AY7" s="31">
        <f ca="1">_xlfn.LET(
    _xlpm._N_bisection, AA36,
    _xlpm._N_initial, AA32,
    _xlpm._initial_values_are_invalid, AA30,
    _xlpm._m_c_is_out_of_range, NOT(R24),
    _xlpm._N_initial_is_one_of_the_roots, AA31,
    _xlpm._converged, AA35,
    IF(
        OR(
            _xlpm._initial_values_are_invalid,
            _xlpm._m_c_is_out_of_range
        ),
        NA(),
        IF(
            _xlpm._N_initial_is_one_of_the_roots,
            _xlpm._N_initial,
            IF(_xlpm._converged, _xlpm._N_bisection, NA())
        )
    )
)</f>
        <v>24.214419901371002</v>
      </c>
      <c r="AZ7" s="31" t="s">
        <v>104</v>
      </c>
    </row>
    <row r="8" spans="1:52" ht="20.25" customHeight="1">
      <c r="J8" s="33" t="s">
        <v>344</v>
      </c>
      <c r="K8" s="53" cm="1">
        <f t="array" aca="1" ref="K8" ca="1">_xlfn.LET(
    _xlpm._name_sheet, _xlfn.TEXTAFTER(
        _xlfn.TAKE(_xlfn.TEXTSPLIT( CELL("filename",A1), , "\"), -1),
        "]"
    ),
   VALUE(_xlfn.TEXTAFTER(_xlpm._name_sheet, "_"))
)</f>
        <v>9</v>
      </c>
    </row>
    <row r="9" spans="1:52" ht="20.25" customHeight="1">
      <c r="J9" s="33" t="s">
        <v>345</v>
      </c>
      <c r="K9" s="32">
        <v>9</v>
      </c>
      <c r="Q9" s="33" t="s">
        <v>295</v>
      </c>
      <c r="R9" s="31">
        <f ca="1">_xlfn.LET(
    _xlpm._m_c, K10,
    _xlpm._rho, K13,
    _xlpm._N_r, K21,
    _xlpm._D, K20,
    _xlpm._m_c * _xlpm._rho ^ -1 * _xlpm._N_r ^ -1 * _xlpm._D ^ -3
)</f>
        <v>2.8333333333333335</v>
      </c>
      <c r="S9" s="31" t="s">
        <v>84</v>
      </c>
    </row>
    <row r="10" spans="1:52" ht="20.25" customHeight="1">
      <c r="J10" s="33" t="s">
        <v>298</v>
      </c>
      <c r="K10" s="32" cm="1">
        <f t="array" aca="1" ref="K10" ca="1">_xlfn.LET(
    _xlpm._m_c,_xlfn.ANCHORARRAY( prm!A5),
    _xlpm._numbering, IFERROR(K8,K9),
    INDEX(_xlpm._m_c, _xlpm._numbering)
)</f>
        <v>2295</v>
      </c>
      <c r="L10" s="31" t="s">
        <v>92</v>
      </c>
      <c r="AR10" s="48" t="s">
        <v>210</v>
      </c>
    </row>
    <row r="11" spans="1:52" ht="20.25" customHeight="1">
      <c r="J11" s="33" t="s">
        <v>297</v>
      </c>
      <c r="K11" s="32" cm="1">
        <f t="array" aca="1" ref="K11" ca="1">_xlfn.LET(
    _xlpm._dP_c,_xlfn.ANCHORARRAY( prm!B5),
    _xlpm._numbering, IFERROR(K8,K9),
    INDEX(_xlpm._dP_c, _xlpm._numbering)
)</f>
        <v>202.56799999999998</v>
      </c>
      <c r="L11" s="31" t="s">
        <v>296</v>
      </c>
      <c r="P11" s="31" t="s">
        <v>294</v>
      </c>
      <c r="AR11" s="32">
        <v>1</v>
      </c>
      <c r="AT11" s="31" t="s">
        <v>336</v>
      </c>
    </row>
    <row r="12" spans="1:52" ht="20.25" customHeight="1">
      <c r="I12" s="31" t="s">
        <v>342</v>
      </c>
      <c r="J12" s="33"/>
      <c r="K12" s="33"/>
      <c r="L12" s="33"/>
      <c r="AQ12" s="37" t="s">
        <v>202</v>
      </c>
      <c r="AR12" s="37" t="s">
        <v>201</v>
      </c>
      <c r="AT12" s="37" t="s">
        <v>202</v>
      </c>
      <c r="AU12" s="37" t="s">
        <v>201</v>
      </c>
    </row>
    <row r="13" spans="1:52" ht="20.25" customHeight="1">
      <c r="J13" s="33" t="s">
        <v>115</v>
      </c>
      <c r="K13" s="32">
        <f>10^3</f>
        <v>1000</v>
      </c>
      <c r="L13" s="31" t="s">
        <v>114</v>
      </c>
      <c r="AQ13" s="47" t="s">
        <v>335</v>
      </c>
      <c r="AR13" s="47" t="s">
        <v>334</v>
      </c>
      <c r="AT13" s="47" t="s">
        <v>335</v>
      </c>
      <c r="AU13" s="47" t="s">
        <v>334</v>
      </c>
    </row>
    <row r="14" spans="1:52" ht="20.25" customHeight="1">
      <c r="J14" s="33"/>
      <c r="AQ14" s="35" t="s">
        <v>84</v>
      </c>
      <c r="AR14" s="35" t="s">
        <v>84</v>
      </c>
      <c r="AT14" s="35" t="s">
        <v>84</v>
      </c>
      <c r="AU14" s="35" t="s">
        <v>84</v>
      </c>
    </row>
    <row r="15" spans="1:52" ht="20.25" customHeight="1">
      <c r="I15" s="31" t="s">
        <v>529</v>
      </c>
      <c r="X15" s="31" t="s">
        <v>293</v>
      </c>
      <c r="AQ15" s="31" cm="1">
        <f t="array" aca="1" ref="AQ15:AQ115" ca="1">_xlfn.LET(
    _xlpm._coefficient, TRANSPOSE(AA17:AA21),
    _xlpm._values_N,_xlfn.ANCHORARRAY( AR15),
    _xlfn.MAP(
        _xlpm._values_N,
        _xlfn.LAMBDA(_xlpm._N,
            SUM(
                _xlpm._coefficient *
                    _xlfn.HSTACK(_xlpm._N ^ {4,3,2,1}, 1)
            )
        )
    )
)</f>
        <v>-70402.655096156624</v>
      </c>
      <c r="AR15" s="31" cm="1">
        <f t="array" ref="AR15:AR115">_xlfn.LET(
    _xlpm._number_divisions, 100,
    _xlpm._rate_extrapolation, AR11,
    _xlpm._N0, AA24,
    _xlpm._N1, AA25,
    _xlpm._extrapolation, (_xlpm._N1 - _xlpm._N0) * _xlpm._rate_extrapolation,
    ((_xlpm._N1 - _xlpm._N0) + _xlpm._extrapolation) / _xlpm._number_divisions *
        (_xlfn.SEQUENCE(_xlpm._number_divisions + 1) - 1) + _xlpm._N0 -
        _xlpm._extrapolation / 2
)</f>
        <v>-6</v>
      </c>
      <c r="AT15" s="31" cm="1">
        <f t="array" aca="1" ref="AT15:AT115" ca="1">_xlfn.LET(
    _xlpm._coefficient, TRANSPOSE(AA17:AA21),
    _xlpm._values_N,_xlfn.ANCHORARRAY( AU15),
    _xlfn.MAP(
        _xlpm._values_N,
        _xlfn.LAMBDA(_xlpm._N,
            SUM(
                _xlpm._coefficient *
                    _xlfn.HSTACK(_xlpm._N ^ {4,3,2,1}, 1)
            )
        )
    )
)</f>
        <v>-20738.835427972183</v>
      </c>
      <c r="AU15" s="31" cm="1">
        <f t="array" ref="AU15:AU115">_xlfn.LET(
    _xlpm._number_divisions, 100,
    _xlpm._N0, AA24,
    _xlpm._N1, AA25,
    (_xlpm._N1 - _xlpm._N0) / _xlpm._number_divisions *
        (_xlfn.SEQUENCE(_xlpm._number_divisions + 1) - 1) + _xlpm._N0
)</f>
        <v>6</v>
      </c>
    </row>
    <row r="16" spans="1:52" ht="20.25" customHeight="1">
      <c r="J16" s="33" t="s">
        <v>530</v>
      </c>
      <c r="K16" s="32">
        <f>'C1'!E14</f>
        <v>1.832382785185185E-2</v>
      </c>
      <c r="L16" s="31" t="s">
        <v>5</v>
      </c>
      <c r="Y16" s="31" t="s">
        <v>292</v>
      </c>
      <c r="AQ16" s="31">
        <f ca="1"/>
        <v>-66147.90119197662</v>
      </c>
      <c r="AR16" s="31">
        <v>-5.52</v>
      </c>
      <c r="AT16" s="31">
        <f ca="1"/>
        <v>-20889.451333966568</v>
      </c>
      <c r="AU16" s="31">
        <v>6.24</v>
      </c>
    </row>
    <row r="17" spans="9:47" ht="20.25" customHeight="1">
      <c r="J17" s="33" t="s">
        <v>531</v>
      </c>
      <c r="K17" s="32">
        <f>'C1'!E15</f>
        <v>5.6803866333333337</v>
      </c>
      <c r="L17" s="31" t="s">
        <v>5</v>
      </c>
      <c r="Q17" s="33" t="s">
        <v>291</v>
      </c>
      <c r="R17" s="31">
        <f>_xlfn.LET(
    _xlpm._rho, K13,
    _xlpm._N_r, K21,
    _xlpm._D, K20,
    _xlpm._C_f_p, K33,
    _xlpm._C_f_min_sample, K16,
    _xlpm._local_maximum_exists, K32,
    IF(
        _xlpm._local_maximum_exists,
        _xlpm._C_f_p,
        _xlpm._C_f_min_sample
    )
)</f>
        <v>0.28465364146978933</v>
      </c>
      <c r="S17" s="31" t="s">
        <v>84</v>
      </c>
      <c r="Z17" s="33" t="s">
        <v>290</v>
      </c>
      <c r="AA17" s="31">
        <f>_xlfn.LET(
    _xlpm._alpha_5, K30,
    _xlpm._rho, K13,
    _xlpm._D, K20,
    _xlpm._rho * _xlpm._D ^ 2 * _xlpm._alpha_5 * 10 ^ -3
)</f>
        <v>0.48332932491123698</v>
      </c>
      <c r="AQ17" s="31">
        <f ca="1"/>
        <v>-62063.42466805056</v>
      </c>
      <c r="AR17" s="31">
        <v>-5.04</v>
      </c>
      <c r="AT17" s="31">
        <f ca="1"/>
        <v>-21074.044851879917</v>
      </c>
      <c r="AU17" s="31">
        <v>6.48</v>
      </c>
    </row>
    <row r="18" spans="9:47" ht="20.25" customHeight="1">
      <c r="Z18" s="33" t="s">
        <v>288</v>
      </c>
      <c r="AA18" s="31">
        <f ca="1">_xlfn.LET(
    _xlpm._alpha_4, K29,
    _xlpm._m_c, K10,
    _xlpm._D, K20,
    _xlpm._alpha_4 * _xlpm._m_c * _xlpm._D ^ -1 * 10 ^ -3
)</f>
        <v>1.4203475007799016</v>
      </c>
      <c r="AQ18" s="31">
        <f ca="1"/>
        <v>-58155.056532594681</v>
      </c>
      <c r="AR18" s="31">
        <v>-4.5600000000000005</v>
      </c>
      <c r="AT18" s="31">
        <f ca="1"/>
        <v>-21291.47830144328</v>
      </c>
      <c r="AU18" s="31">
        <v>6.72</v>
      </c>
    </row>
    <row r="19" spans="9:47" ht="20.25" customHeight="1">
      <c r="I19" s="31" t="s">
        <v>112</v>
      </c>
      <c r="J19" s="33"/>
      <c r="Z19" s="33" t="s">
        <v>286</v>
      </c>
      <c r="AA19" s="31">
        <f ca="1">_xlfn.LET(
    _xlpm._alpha_3, K28,
    _xlpm._m_c, K10,
    _xlpm._rho, K13,
    _xlpm._D, K20,
    _xlpm._dP_c, K11,
    _xlpm._alpha_3 * _xlpm._m_c ^ 2 * 10 ^ -3 * _xlpm._rho ^ -1 * _xlpm._D ^ -4 - _xlpm._dP_c
)</f>
        <v>-434.47939642137226</v>
      </c>
      <c r="AQ19" s="31">
        <f ca="1"/>
        <v>-54428.012022676063</v>
      </c>
      <c r="AR19" s="31">
        <v>-4.08</v>
      </c>
      <c r="AT19" s="31">
        <f ca="1"/>
        <v>-21540.575516690878</v>
      </c>
      <c r="AU19" s="31">
        <v>6.96</v>
      </c>
    </row>
    <row r="20" spans="9:47" ht="20.25" customHeight="1">
      <c r="J20" s="33" t="s">
        <v>111</v>
      </c>
      <c r="K20" s="32">
        <v>0.3</v>
      </c>
      <c r="L20" s="31" t="s">
        <v>110</v>
      </c>
      <c r="Z20" s="33" t="s">
        <v>285</v>
      </c>
      <c r="AA20" s="31">
        <f ca="1">_xlfn.LET(
    _xlpm._alpha_2, K27,
    _xlpm._m_c, K10,
    _xlpm._rho, K13,
    _xlpm._D, K20,
    _xlpm._alpha_2 * _xlpm._m_c ^ 3 * 10 ^ -3 * _xlpm._rho ^ -2 * _xlpm._D ^ -7
)</f>
        <v>4087.5191289872942</v>
      </c>
      <c r="AQ20" s="31">
        <f ca="1"/>
        <v>-50886.890604212589</v>
      </c>
      <c r="AR20" s="31">
        <v>-3.5999999999999996</v>
      </c>
      <c r="AT20" s="31">
        <f ca="1"/>
        <v>-21820.121845960111</v>
      </c>
      <c r="AU20" s="31">
        <v>7.2</v>
      </c>
    </row>
    <row r="21" spans="9:47" ht="20.25" customHeight="1">
      <c r="J21" s="33" t="s">
        <v>105</v>
      </c>
      <c r="K21" s="32">
        <f>prm!D5</f>
        <v>30</v>
      </c>
      <c r="L21" s="31" t="s">
        <v>104</v>
      </c>
      <c r="Q21" s="33" t="s">
        <v>283</v>
      </c>
      <c r="R21" s="31">
        <f>K17</f>
        <v>5.6803866333333337</v>
      </c>
      <c r="S21" s="31" t="s">
        <v>84</v>
      </c>
      <c r="Z21" s="33" t="s">
        <v>282</v>
      </c>
      <c r="AA21" s="31">
        <f ca="1">_xlfn.LET(
    _xlpm._alpha_1, K26,
    _xlpm._m_c, K10,
    _xlpm._rho, K13,
    _xlpm._D, K20,
    _xlpm._alpha_1 * _xlpm._m_c ^ 4 * 10 ^ -3 * _xlpm._rho ^ -3 * _xlpm._D ^ -10
)</f>
        <v>-30555.881795979967</v>
      </c>
      <c r="AQ21" s="31">
        <f ca="1"/>
        <v>-47535.675971972945</v>
      </c>
      <c r="AR21" s="31">
        <v>-3.120000000000001</v>
      </c>
      <c r="AT21" s="31">
        <f ca="1"/>
        <v>-22128.864151891557</v>
      </c>
      <c r="AU21" s="31">
        <v>7.4399999999999995</v>
      </c>
    </row>
    <row r="22" spans="9:47" ht="20.25" customHeight="1">
      <c r="J22" s="33" t="s">
        <v>289</v>
      </c>
      <c r="K22" s="32">
        <f>prm!E5</f>
        <v>0.2</v>
      </c>
      <c r="L22" s="31" t="s">
        <v>84</v>
      </c>
      <c r="Z22" s="33"/>
      <c r="AQ22" s="31">
        <f ca="1"/>
        <v>-44377.736049576619</v>
      </c>
      <c r="AR22" s="31">
        <v>-2.6400000000000006</v>
      </c>
      <c r="AT22" s="31">
        <f ca="1"/>
        <v>-22465.510811428958</v>
      </c>
      <c r="AU22" s="31">
        <v>7.68</v>
      </c>
    </row>
    <row r="23" spans="9:47" ht="20.25" customHeight="1">
      <c r="J23" s="33" t="s">
        <v>287</v>
      </c>
      <c r="K23" s="32">
        <f>prm!F5</f>
        <v>1</v>
      </c>
      <c r="L23" s="31" t="s">
        <v>84</v>
      </c>
      <c r="P23" s="31" t="s">
        <v>281</v>
      </c>
      <c r="Y23" s="31" t="s">
        <v>280</v>
      </c>
      <c r="AQ23" s="31">
        <f ca="1"/>
        <v>-41415.822989493921</v>
      </c>
      <c r="AR23" s="31">
        <v>-2.16</v>
      </c>
      <c r="AT23" s="31">
        <f ca="1"/>
        <v>-22828.731715819249</v>
      </c>
      <c r="AU23" s="31">
        <v>7.92</v>
      </c>
    </row>
    <row r="24" spans="9:47" ht="20.25" customHeight="1">
      <c r="Q24" s="33" t="s">
        <v>279</v>
      </c>
      <c r="R24" s="31" t="b">
        <f ca="1">_xlfn.LET(
    _xlpm._C_f_c, R9,
    _xlpm._C_f_min, R17,
    _xlpm._C_f_max, R21,
    AND(_xlpm._C_f_min &lt;= _xlpm._C_f_c, _xlpm._C_f_c &lt;= _xlpm._C_f_max)
)</f>
        <v>1</v>
      </c>
      <c r="Z24" s="33" t="s">
        <v>278</v>
      </c>
      <c r="AA24" s="31">
        <f>_xlfn.LET(
    _xlpm._N_r, K21,
    _xlpm._R_N_min, K22,
    _xlpm._N_r * _xlpm._R_N_min
)</f>
        <v>6</v>
      </c>
      <c r="AB24" s="31" t="s">
        <v>104</v>
      </c>
      <c r="AQ24" s="31">
        <f ca="1"/>
        <v>-38652.073173045974</v>
      </c>
      <c r="AR24" s="31">
        <v>-1.6799999999999997</v>
      </c>
      <c r="AT24" s="31">
        <f ca="1"/>
        <v>-23217.15827061253</v>
      </c>
      <c r="AU24" s="31">
        <v>8.16</v>
      </c>
    </row>
    <row r="25" spans="9:47" ht="20.25" customHeight="1">
      <c r="I25" s="31" t="s">
        <v>284</v>
      </c>
      <c r="Z25" s="33" t="s">
        <v>277</v>
      </c>
      <c r="AA25" s="31">
        <f>_xlfn.LET(
    _xlpm._N_r, K21,
    _xlpm._R_N_max, K23,
    _xlpm._N_r * _xlpm._R_N_max
)</f>
        <v>30</v>
      </c>
      <c r="AB25" s="31" t="s">
        <v>104</v>
      </c>
      <c r="AQ25" s="31">
        <f ca="1"/>
        <v>-36088.007210404707</v>
      </c>
      <c r="AR25" s="31">
        <v>-1.1999999999999993</v>
      </c>
      <c r="AT25" s="31">
        <f ca="1"/>
        <v>-23629.383395662073</v>
      </c>
      <c r="AU25" s="31">
        <v>8.4</v>
      </c>
    </row>
    <row r="26" spans="9:47" ht="20.25" customHeight="1">
      <c r="J26" s="33" t="s">
        <v>235</v>
      </c>
      <c r="K26" s="32">
        <f>'C1'!E7</f>
        <v>-6.5039412408014396E-3</v>
      </c>
      <c r="Z26" s="33"/>
      <c r="AQ26" s="31">
        <f ca="1"/>
        <v>-33724.529940592853</v>
      </c>
      <c r="AR26" s="31">
        <v>-0.72000000000000064</v>
      </c>
      <c r="AT26" s="31">
        <f ca="1"/>
        <v>-24063.961525124345</v>
      </c>
      <c r="AU26" s="31">
        <v>8.64</v>
      </c>
    </row>
    <row r="27" spans="9:47" ht="20.25" customHeight="1">
      <c r="J27" s="33" t="s">
        <v>227</v>
      </c>
      <c r="K27" s="32">
        <f>'C1'!E8</f>
        <v>7.3953802908153773E-2</v>
      </c>
      <c r="Y27" s="31" t="s">
        <v>276</v>
      </c>
      <c r="AQ27" s="31">
        <f ca="1"/>
        <v>-31561.930431483939</v>
      </c>
      <c r="AR27" s="31">
        <v>-0.24000000000000021</v>
      </c>
      <c r="AT27" s="31">
        <f ca="1"/>
        <v>-24519.40860745895</v>
      </c>
      <c r="AU27" s="31">
        <v>8.879999999999999</v>
      </c>
    </row>
    <row r="28" spans="9:47" ht="20.25" customHeight="1">
      <c r="J28" s="33" t="s">
        <v>216</v>
      </c>
      <c r="K28" s="32">
        <f>'C1'!E9</f>
        <v>-0.35664959080564745</v>
      </c>
      <c r="Z28" s="33" t="s">
        <v>337</v>
      </c>
      <c r="AA28" s="31" cm="1">
        <f t="array" aca="1" ref="AA28" ca="1">_xlfn.LET(
    _xlpm._coefficient, TRANSPOSE(AA17:AA21),
    _xlpm._N, AA24,
    SUM(_xlpm._coefficient * _xlfn.HSTACK(_xlpm._N ^ {4,3,2,1}, 1))
)</f>
        <v>-20738.835427972183</v>
      </c>
      <c r="AQ28" s="31">
        <f ca="1"/>
        <v>-29599.881979802336</v>
      </c>
      <c r="AR28" s="31">
        <v>0.24000000000000021</v>
      </c>
      <c r="AT28" s="31">
        <f ca="1"/>
        <v>-24994.202105428722</v>
      </c>
      <c r="AU28" s="31">
        <v>9.120000000000001</v>
      </c>
    </row>
    <row r="29" spans="9:47" ht="20.25" customHeight="1">
      <c r="J29" s="33" t="s">
        <v>207</v>
      </c>
      <c r="K29" s="32">
        <f>'C1'!E10</f>
        <v>0.18566633997122894</v>
      </c>
      <c r="Z29" s="33" t="s">
        <v>338</v>
      </c>
      <c r="AA29" s="31" cm="1">
        <f t="array" aca="1" ref="AA29" ca="1">_xlfn.LET(
    _xlpm._coefficient, TRANSPOSE(AA17:AA21),
    _xlpm._N, AA25,
    SUM(_xlpm._coefficient * _xlfn.HSTACK(_xlpm._N ^ {4,3,2,1}, 1))
)</f>
        <v>130884.37099356311</v>
      </c>
      <c r="AQ29" s="31">
        <f ca="1"/>
        <v>-27837.442111123204</v>
      </c>
      <c r="AR29" s="31">
        <v>0.71999999999999886</v>
      </c>
      <c r="AT29" s="31">
        <f ca="1"/>
        <v>-25486.780996099613</v>
      </c>
      <c r="AU29" s="31">
        <v>9.36</v>
      </c>
    </row>
    <row r="30" spans="9:47" ht="20.25" customHeight="1">
      <c r="J30" s="33" t="s">
        <v>203</v>
      </c>
      <c r="K30" s="32">
        <f>'C1'!E11</f>
        <v>5.3703258323470777</v>
      </c>
      <c r="Z30" s="33" t="s">
        <v>275</v>
      </c>
      <c r="AA30" s="31" t="b">
        <f ca="1">_xlfn.LET(
    _xlpm._f_N_min, AA28,
    _xlpm._f_N_max, AA29,
    _xlpm._f_N_min * _xlpm._f_N_max &gt;= 0
)</f>
        <v>0</v>
      </c>
      <c r="AQ30" s="31">
        <f ca="1"/>
        <v>-26273.052579872507</v>
      </c>
      <c r="AR30" s="31">
        <v>1.1999999999999993</v>
      </c>
      <c r="AT30" s="31">
        <f ca="1"/>
        <v>-25995.545770840788</v>
      </c>
      <c r="AU30" s="31">
        <v>9.6</v>
      </c>
    </row>
    <row r="31" spans="9:47" ht="20.25" customHeight="1">
      <c r="Z31" s="33" t="s">
        <v>273</v>
      </c>
      <c r="AA31" s="31" t="b">
        <f ca="1">_xlfn.LET(
    _xlpm._f_N_min, AA28,
    _xlpm._f_N_max, AA29,
    _xlpm._epsilon, K37,
    _xlpm._f_N_min_is_one_of_the_roots, ABS(_xlpm._f_N_min) &lt;= _xlpm._epsilon,
    _xlpm._f_N_max_is_one_of_the_roots, ABS(_xlpm._f_N_max) &lt;= _xlpm._epsilon,
    _xlfn.XOR(
        _xlpm._f_N_min_is_one_of_the_roots,
        _xlpm._f_N_max_is_one_of_the_roots
    )
)</f>
        <v>0</v>
      </c>
      <c r="AQ31" s="31">
        <f ca="1"/>
        <v>-24904.539369327034</v>
      </c>
      <c r="AR31" s="31">
        <v>1.6799999999999997</v>
      </c>
      <c r="AT31" s="31">
        <f ca="1"/>
        <v>-26518.858435324579</v>
      </c>
      <c r="AU31" s="31">
        <v>9.84</v>
      </c>
    </row>
    <row r="32" spans="9:47" ht="20.25" customHeight="1">
      <c r="J32" s="33" t="s">
        <v>176</v>
      </c>
      <c r="K32" s="32" t="b">
        <f>'C1'!E18</f>
        <v>1</v>
      </c>
      <c r="Z32" s="33" t="s">
        <v>270</v>
      </c>
      <c r="AA32" s="31" t="e">
        <f ca="1">_xlfn.LET(
    _xlpm._f_N_min, AA28,
    _xlpm._f_N_max, AA29,
    _xlpm._epsilon, K37,
    _xlpm._f_N_min_is_one_of_the_roots, ABS(_xlpm._f_N_min) &lt;= _xlpm._epsilon,
    _xlpm._f_N_max_is_one_of_the_roots, ABS(_xlpm._f_N_max) &lt;= _xlpm._epsilon,
    IF(
        _xlfn.XOR(
            _xlpm._f_N_min_is_one_of_the_roots,
            _xlpm._f_N_max_is_one_of_the_roots
        ),
        IF(
            _xlpm._f_N_min_is_one_of_the_roots,
            _xlpm._f_N_min,
            IF(_xlpm._f_N_max_is_one_of_the_roots, _xlpm._f_N_max, NA())
        ),
        NA()
    )
)</f>
        <v>#N/A</v>
      </c>
      <c r="AQ32" s="31">
        <f ca="1"/>
        <v>-23729.112691614369</v>
      </c>
      <c r="AR32" s="31">
        <v>2.16</v>
      </c>
      <c r="AT32" s="31">
        <f ca="1"/>
        <v>-27055.042509526513</v>
      </c>
      <c r="AU32" s="31">
        <v>10.08</v>
      </c>
    </row>
    <row r="33" spans="9:47" ht="20.25" customHeight="1">
      <c r="J33" s="33" t="s">
        <v>172</v>
      </c>
      <c r="K33" s="32">
        <f>'C1'!E19</f>
        <v>0.28465364146978933</v>
      </c>
      <c r="L33" s="31" t="s">
        <v>50</v>
      </c>
      <c r="AQ33" s="31">
        <f ca="1"/>
        <v>-22743.366987712918</v>
      </c>
      <c r="AR33" s="31">
        <v>2.6400000000000006</v>
      </c>
      <c r="AT33" s="31">
        <f ca="1"/>
        <v>-27602.383027725231</v>
      </c>
      <c r="AU33" s="31">
        <v>10.32</v>
      </c>
    </row>
    <row r="34" spans="9:47" ht="20.25" customHeight="1">
      <c r="Y34" s="31" t="s">
        <v>268</v>
      </c>
      <c r="AQ34" s="31">
        <f ca="1"/>
        <v>-21943.280927451888</v>
      </c>
      <c r="AR34" s="31">
        <v>3.1199999999999992</v>
      </c>
      <c r="AT34" s="31">
        <f ca="1"/>
        <v>-28159.126538502609</v>
      </c>
      <c r="AU34" s="31">
        <v>10.559999999999999</v>
      </c>
    </row>
    <row r="35" spans="9:47" ht="20.25" customHeight="1">
      <c r="I35" s="31" t="s">
        <v>274</v>
      </c>
      <c r="Z35" s="33" t="s">
        <v>267</v>
      </c>
      <c r="AA35" s="31" t="b">
        <f ca="1">ISNUMBER(AA36)</f>
        <v>1</v>
      </c>
      <c r="AQ35" s="31">
        <f ca="1"/>
        <v>-21324.217409511293</v>
      </c>
      <c r="AR35" s="31">
        <v>3.5999999999999996</v>
      </c>
      <c r="AT35" s="31">
        <f ca="1"/>
        <v>-28723.481104743692</v>
      </c>
      <c r="AU35" s="31">
        <v>10.8</v>
      </c>
    </row>
    <row r="36" spans="9:47" ht="20.25" customHeight="1">
      <c r="J36" s="33" t="s">
        <v>272</v>
      </c>
      <c r="K36" s="32">
        <f>10^3</f>
        <v>1000</v>
      </c>
      <c r="L36" s="31" t="s">
        <v>271</v>
      </c>
      <c r="Z36" s="33" t="s">
        <v>266</v>
      </c>
      <c r="AA36" s="31" cm="1">
        <f t="array" aca="1" ref="AA36" ca="1">_xlfn.LET(
    _xlpm._a4, AA17,
    _xlpm._a3, AA18,
    _xlpm._a2, AA19,
    _xlpm._a1, AA20,
    _xlpm._a0, AA21,
    _xlpm._N_min, AA24,
    _xlpm._N_max, AA25,
    _xlpm._n_iteration_max, K36,
    _xlpm._epsilon, K37,
    _bisection.quartic_equation(
        _xlpm._a4,
        _xlpm._a3,
        _xlpm._a2,
        _xlpm._a1,
        _xlpm._a0,
        _xlpm._N_min,
        _xlpm._N_max,
        _xlpm._n_iteration_max,
        _xlpm._epsilon
    )
)</f>
        <v>24.214419901371002</v>
      </c>
      <c r="AB36" s="31" t="s">
        <v>104</v>
      </c>
      <c r="AQ36" s="31">
        <f ca="1"/>
        <v>-20880.923561421965</v>
      </c>
      <c r="AR36" s="31">
        <v>4.0799999999999983</v>
      </c>
      <c r="AT36" s="31">
        <f ca="1"/>
        <v>-29293.616303636674</v>
      </c>
      <c r="AU36" s="31">
        <v>11.04</v>
      </c>
    </row>
    <row r="37" spans="9:47" ht="20.25" customHeight="1">
      <c r="J37" s="33" t="s">
        <v>269</v>
      </c>
      <c r="K37" s="32">
        <f>10^-3</f>
        <v>1E-3</v>
      </c>
      <c r="AQ37" s="31">
        <f ca="1"/>
        <v>-20607.53073956554</v>
      </c>
      <c r="AR37" s="31">
        <v>4.5599999999999987</v>
      </c>
      <c r="AT37" s="31">
        <f ca="1"/>
        <v>-29867.663226672939</v>
      </c>
      <c r="AU37" s="31">
        <v>11.28</v>
      </c>
    </row>
    <row r="38" spans="9:47" ht="20.25" customHeight="1">
      <c r="AQ38" s="31">
        <f ca="1"/>
        <v>-20497.554529174464</v>
      </c>
      <c r="AR38" s="31">
        <v>5.0399999999999991</v>
      </c>
      <c r="AT38" s="31">
        <f ca="1"/>
        <v>-30443.714479647064</v>
      </c>
      <c r="AU38" s="31">
        <v>11.52</v>
      </c>
    </row>
    <row r="39" spans="9:47" ht="20.25" customHeight="1">
      <c r="AQ39" s="31">
        <f ca="1"/>
        <v>-20543.894744331985</v>
      </c>
      <c r="AR39" s="31">
        <v>5.52</v>
      </c>
      <c r="AT39" s="31">
        <f ca="1"/>
        <v>-31019.824182656765</v>
      </c>
      <c r="AU39" s="31">
        <v>11.76</v>
      </c>
    </row>
    <row r="40" spans="9:47" ht="20.25" customHeight="1">
      <c r="AQ40" s="31">
        <f ca="1"/>
        <v>-20738.835427972183</v>
      </c>
      <c r="AR40" s="31">
        <v>6</v>
      </c>
      <c r="AT40" s="31">
        <f ca="1"/>
        <v>-31594.007970102964</v>
      </c>
      <c r="AU40" s="31">
        <v>12</v>
      </c>
    </row>
    <row r="41" spans="9:47" ht="20.25" customHeight="1">
      <c r="AQ41" s="31">
        <f ca="1"/>
        <v>-21074.044851879917</v>
      </c>
      <c r="AR41" s="31">
        <v>6.48</v>
      </c>
      <c r="AT41" s="31">
        <f ca="1"/>
        <v>-32164.242990689734</v>
      </c>
      <c r="AU41" s="31">
        <v>12.24</v>
      </c>
    </row>
    <row r="42" spans="9:47" ht="20.25" customHeight="1">
      <c r="AQ42" s="31">
        <f ca="1"/>
        <v>-21540.575516690878</v>
      </c>
      <c r="AR42" s="31">
        <v>6.9600000000000009</v>
      </c>
      <c r="AT42" s="31">
        <f ca="1"/>
        <v>-32728.467907424365</v>
      </c>
      <c r="AU42" s="31">
        <v>12.48</v>
      </c>
    </row>
    <row r="43" spans="9:47" ht="20.25" customHeight="1">
      <c r="AQ43" s="31">
        <f ca="1"/>
        <v>-22128.86415189155</v>
      </c>
      <c r="AR43" s="31">
        <v>7.4399999999999977</v>
      </c>
      <c r="AT43" s="31">
        <f ca="1"/>
        <v>-33284.582897617249</v>
      </c>
      <c r="AU43" s="31">
        <v>12.719999999999999</v>
      </c>
    </row>
    <row r="44" spans="9:47" ht="20.25" customHeight="1">
      <c r="AQ44" s="31">
        <f ca="1"/>
        <v>-22828.731715819253</v>
      </c>
      <c r="AR44" s="31">
        <v>7.9200000000000017</v>
      </c>
      <c r="AT44" s="31">
        <f ca="1"/>
        <v>-33830.44965288206</v>
      </c>
      <c r="AU44" s="31">
        <v>12.96</v>
      </c>
    </row>
    <row r="45" spans="9:47" ht="20.25" customHeight="1">
      <c r="AQ45" s="31">
        <f ca="1"/>
        <v>-23629.383395662073</v>
      </c>
      <c r="AR45" s="31">
        <v>8.3999999999999986</v>
      </c>
      <c r="AT45" s="31">
        <f ca="1"/>
        <v>-34363.89137913553</v>
      </c>
      <c r="AU45" s="31">
        <v>13.2</v>
      </c>
    </row>
    <row r="46" spans="9:47" ht="20.25" customHeight="1">
      <c r="AQ46" s="31">
        <f ca="1"/>
        <v>-24519.40860745895</v>
      </c>
      <c r="AR46" s="31">
        <v>8.879999999999999</v>
      </c>
      <c r="AT46" s="31">
        <f ca="1"/>
        <v>-34882.69279659765</v>
      </c>
      <c r="AU46" s="31">
        <v>13.44</v>
      </c>
    </row>
    <row r="47" spans="9:47" ht="20.25" customHeight="1">
      <c r="AQ47" s="31">
        <f ca="1"/>
        <v>-25486.780996099613</v>
      </c>
      <c r="AR47" s="31">
        <v>9.36</v>
      </c>
      <c r="AT47" s="31">
        <f ca="1"/>
        <v>-35384.600139791539</v>
      </c>
      <c r="AU47" s="31">
        <v>13.68</v>
      </c>
    </row>
    <row r="48" spans="9:47" ht="20.25" customHeight="1">
      <c r="AQ48" s="31">
        <f ca="1"/>
        <v>-26518.858435324579</v>
      </c>
      <c r="AR48" s="31">
        <v>9.84</v>
      </c>
      <c r="AT48" s="31">
        <f ca="1"/>
        <v>-35867.321157543571</v>
      </c>
      <c r="AU48" s="31">
        <v>13.92</v>
      </c>
    </row>
    <row r="49" spans="43:47" ht="20.25" customHeight="1">
      <c r="AQ49" s="31">
        <f ca="1"/>
        <v>-27602.383027725231</v>
      </c>
      <c r="AR49" s="31">
        <v>10.32</v>
      </c>
      <c r="AT49" s="31">
        <f ca="1"/>
        <v>-36328.525112983174</v>
      </c>
      <c r="AU49" s="31">
        <v>14.16</v>
      </c>
    </row>
    <row r="50" spans="43:47" ht="20.25" customHeight="1">
      <c r="AQ50" s="31">
        <f ca="1"/>
        <v>-28723.481104743692</v>
      </c>
      <c r="AR50" s="31">
        <v>10.8</v>
      </c>
      <c r="AT50" s="31">
        <f ca="1"/>
        <v>-36765.842783543034</v>
      </c>
      <c r="AU50" s="31">
        <v>14.4</v>
      </c>
    </row>
    <row r="51" spans="43:47" ht="20.25" customHeight="1">
      <c r="AQ51" s="31">
        <f ca="1"/>
        <v>-29867.663226672947</v>
      </c>
      <c r="AR51" s="31">
        <v>11.280000000000001</v>
      </c>
      <c r="AT51" s="31">
        <f ca="1"/>
        <v>-37176.866460959005</v>
      </c>
      <c r="AU51" s="31">
        <v>14.64</v>
      </c>
    </row>
    <row r="52" spans="43:47" ht="20.25" customHeight="1">
      <c r="AQ52" s="31">
        <f ca="1"/>
        <v>-31019.824182656765</v>
      </c>
      <c r="AR52" s="31">
        <v>11.759999999999998</v>
      </c>
      <c r="AT52" s="31">
        <f ca="1"/>
        <v>-37559.149951270098</v>
      </c>
      <c r="AU52" s="31">
        <v>14.879999999999999</v>
      </c>
    </row>
    <row r="53" spans="43:47" ht="20.25" customHeight="1">
      <c r="AQ53" s="31">
        <f ca="1"/>
        <v>-32164.242990689741</v>
      </c>
      <c r="AR53" s="31">
        <v>12.239999999999998</v>
      </c>
      <c r="AT53" s="31">
        <f ca="1"/>
        <v>-37910.208574818505</v>
      </c>
      <c r="AU53" s="31">
        <v>15.12</v>
      </c>
    </row>
    <row r="54" spans="43:47" ht="20.25" customHeight="1">
      <c r="AQ54" s="31">
        <f ca="1"/>
        <v>-33284.582897617249</v>
      </c>
      <c r="AR54" s="31">
        <v>12.719999999999999</v>
      </c>
      <c r="AT54" s="31">
        <f ca="1"/>
        <v>-38227.519166249578</v>
      </c>
      <c r="AU54" s="31">
        <v>15.36</v>
      </c>
    </row>
    <row r="55" spans="43:47" ht="20.25" customHeight="1">
      <c r="AQ55" s="31">
        <f ca="1"/>
        <v>-34363.89137913553</v>
      </c>
      <c r="AR55" s="31">
        <v>13.2</v>
      </c>
      <c r="AT55" s="31">
        <f ca="1"/>
        <v>-38508.520074511893</v>
      </c>
      <c r="AU55" s="31">
        <v>15.6</v>
      </c>
    </row>
    <row r="56" spans="43:47" ht="20.25" customHeight="1">
      <c r="AQ56" s="31">
        <f ca="1"/>
        <v>-35384.600139791539</v>
      </c>
      <c r="AR56" s="31">
        <v>13.68</v>
      </c>
      <c r="AT56" s="31">
        <f ca="1"/>
        <v>-38750.611162857138</v>
      </c>
      <c r="AU56" s="31">
        <v>15.84</v>
      </c>
    </row>
    <row r="57" spans="43:47" ht="20.25" customHeight="1">
      <c r="AQ57" s="31">
        <f ca="1"/>
        <v>-36328.525112983174</v>
      </c>
      <c r="AR57" s="31">
        <v>14.16</v>
      </c>
      <c r="AT57" s="31">
        <f ca="1"/>
        <v>-38951.153808840245</v>
      </c>
      <c r="AU57" s="31">
        <v>16.079999999999998</v>
      </c>
    </row>
    <row r="58" spans="43:47" ht="20.25" customHeight="1">
      <c r="AQ58" s="31">
        <f ca="1"/>
        <v>-37176.866460959005</v>
      </c>
      <c r="AR58" s="31">
        <v>14.64</v>
      </c>
      <c r="AT58" s="31">
        <f ca="1"/>
        <v>-39107.470904319256</v>
      </c>
      <c r="AU58" s="31">
        <v>16.32</v>
      </c>
    </row>
    <row r="59" spans="43:47" ht="20.25" customHeight="1">
      <c r="AQ59" s="31">
        <f ca="1"/>
        <v>-37910.208574818491</v>
      </c>
      <c r="AR59" s="31">
        <v>15.119999999999997</v>
      </c>
      <c r="AT59" s="31">
        <f ca="1"/>
        <v>-39216.846855455442</v>
      </c>
      <c r="AU59" s="31">
        <v>16.559999999999999</v>
      </c>
    </row>
    <row r="60" spans="43:47" ht="20.25" customHeight="1">
      <c r="AQ60" s="31">
        <f ca="1"/>
        <v>-38508.520074511878</v>
      </c>
      <c r="AR60" s="31">
        <v>15.599999999999998</v>
      </c>
      <c r="AT60" s="31">
        <f ca="1"/>
        <v>-39276.527582713199</v>
      </c>
      <c r="AU60" s="31">
        <v>16.799999999999997</v>
      </c>
    </row>
    <row r="61" spans="43:47" ht="20.25" customHeight="1">
      <c r="AQ61" s="31">
        <f ca="1"/>
        <v>-38951.153808840245</v>
      </c>
      <c r="AR61" s="31">
        <v>16.079999999999998</v>
      </c>
      <c r="AT61" s="31">
        <f ca="1"/>
        <v>-39283.720520860166</v>
      </c>
      <c r="AU61" s="31">
        <v>17.04</v>
      </c>
    </row>
    <row r="62" spans="43:47" ht="20.25" customHeight="1">
      <c r="AQ62" s="31">
        <f ca="1"/>
        <v>-39216.846855455442</v>
      </c>
      <c r="AR62" s="31">
        <v>16.559999999999999</v>
      </c>
      <c r="AT62" s="31">
        <f ca="1"/>
        <v>-39235.594618967065</v>
      </c>
      <c r="AU62" s="31">
        <v>17.28</v>
      </c>
    </row>
    <row r="63" spans="43:47" ht="20.25" customHeight="1">
      <c r="AQ63" s="31">
        <f ca="1"/>
        <v>-39283.720520860166</v>
      </c>
      <c r="AR63" s="31">
        <v>17.04</v>
      </c>
      <c r="AT63" s="31">
        <f ca="1"/>
        <v>-39129.280340407888</v>
      </c>
      <c r="AU63" s="31">
        <v>17.52</v>
      </c>
    </row>
    <row r="64" spans="43:47" ht="20.25" customHeight="1">
      <c r="AQ64" s="31">
        <f ca="1"/>
        <v>-39129.280340407888</v>
      </c>
      <c r="AR64" s="31">
        <v>17.52</v>
      </c>
      <c r="AT64" s="31">
        <f ca="1"/>
        <v>-38961.86966285971</v>
      </c>
      <c r="AU64" s="31">
        <v>17.759999999999998</v>
      </c>
    </row>
    <row r="65" spans="43:47" ht="20.25" customHeight="1">
      <c r="AQ65" s="31">
        <f ca="1"/>
        <v>-38730.416078302893</v>
      </c>
      <c r="AR65" s="31">
        <v>18</v>
      </c>
      <c r="AT65" s="31">
        <f ca="1"/>
        <v>-38730.416078302893</v>
      </c>
      <c r="AU65" s="31">
        <v>18</v>
      </c>
    </row>
    <row r="66" spans="43:47" ht="20.25" customHeight="1">
      <c r="AQ66" s="31">
        <f ca="1"/>
        <v>-38063.4017276003</v>
      </c>
      <c r="AR66" s="31">
        <v>18.48</v>
      </c>
      <c r="AT66" s="31">
        <f ca="1"/>
        <v>-38431.934593020866</v>
      </c>
      <c r="AU66" s="31">
        <v>18.240000000000002</v>
      </c>
    </row>
    <row r="67" spans="43:47" ht="20.25" customHeight="1">
      <c r="AQ67" s="31">
        <f ca="1"/>
        <v>-37103.895510206014</v>
      </c>
      <c r="AR67" s="31">
        <v>18.96</v>
      </c>
      <c r="AT67" s="31">
        <f ca="1"/>
        <v>-38063.4017276003</v>
      </c>
      <c r="AU67" s="31">
        <v>18.48</v>
      </c>
    </row>
    <row r="68" spans="43:47" ht="20.25" customHeight="1">
      <c r="AQ68" s="31">
        <f ca="1"/>
        <v>-35826.939876876786</v>
      </c>
      <c r="AR68" s="31">
        <v>19.439999999999998</v>
      </c>
      <c r="AT68" s="31">
        <f ca="1"/>
        <v>-37621.755516931022</v>
      </c>
      <c r="AU68" s="31">
        <v>18.72</v>
      </c>
    </row>
    <row r="69" spans="43:47" ht="20.25" customHeight="1">
      <c r="AQ69" s="31">
        <f ca="1"/>
        <v>-34206.961507220156</v>
      </c>
      <c r="AR69" s="31">
        <v>19.919999999999998</v>
      </c>
      <c r="AT69" s="31">
        <f ca="1"/>
        <v>-37103.895510206014</v>
      </c>
      <c r="AU69" s="31">
        <v>18.96</v>
      </c>
    </row>
    <row r="70" spans="43:47" ht="20.25" customHeight="1">
      <c r="AQ70" s="31">
        <f ca="1"/>
        <v>-32217.771309694454</v>
      </c>
      <c r="AR70" s="31">
        <v>20.399999999999999</v>
      </c>
      <c r="AT70" s="31">
        <f ca="1"/>
        <v>-36506.682770921485</v>
      </c>
      <c r="AU70" s="31">
        <v>19.2</v>
      </c>
    </row>
    <row r="71" spans="43:47" ht="20.25" customHeight="1">
      <c r="AQ71" s="31">
        <f ca="1"/>
        <v>-29832.564421608771</v>
      </c>
      <c r="AR71" s="31">
        <v>20.879999999999995</v>
      </c>
      <c r="AT71" s="31">
        <f ca="1"/>
        <v>-35826.939876876786</v>
      </c>
      <c r="AU71" s="31">
        <v>19.439999999999998</v>
      </c>
    </row>
    <row r="72" spans="43:47" ht="20.25" customHeight="1">
      <c r="AQ72" s="31">
        <f ca="1"/>
        <v>-27023.920209123116</v>
      </c>
      <c r="AR72" s="31">
        <v>21.36</v>
      </c>
      <c r="AT72" s="31">
        <f ca="1"/>
        <v>-35061.450920174422</v>
      </c>
      <c r="AU72" s="31">
        <v>19.68</v>
      </c>
    </row>
    <row r="73" spans="43:47" ht="20.25" customHeight="1">
      <c r="AQ73" s="31">
        <f ca="1"/>
        <v>-23763.80226724828</v>
      </c>
      <c r="AR73" s="31">
        <v>21.840000000000003</v>
      </c>
      <c r="AT73" s="31">
        <f ca="1"/>
        <v>-34206.961507220127</v>
      </c>
      <c r="AU73" s="31">
        <v>19.920000000000002</v>
      </c>
    </row>
    <row r="74" spans="43:47" ht="20.25" customHeight="1">
      <c r="AQ74" s="31">
        <f ca="1"/>
        <v>-20023.558419845856</v>
      </c>
      <c r="AR74" s="31">
        <v>22.32</v>
      </c>
      <c r="AT74" s="31">
        <f ca="1"/>
        <v>-33260.178758722803</v>
      </c>
      <c r="AU74" s="31">
        <v>20.16</v>
      </c>
    </row>
    <row r="75" spans="43:47" ht="20.25" customHeight="1">
      <c r="AQ75" s="31">
        <f ca="1"/>
        <v>-15773.920719628197</v>
      </c>
      <c r="AR75" s="31">
        <v>22.799999999999997</v>
      </c>
      <c r="AT75" s="31">
        <f ca="1"/>
        <v>-32217.771309694454</v>
      </c>
      <c r="AU75" s="31">
        <v>20.399999999999999</v>
      </c>
    </row>
    <row r="76" spans="43:47" ht="20.25" customHeight="1">
      <c r="AQ76" s="31">
        <f ca="1"/>
        <v>-10985.00544815847</v>
      </c>
      <c r="AR76" s="31">
        <v>23.28</v>
      </c>
      <c r="AT76" s="31">
        <f ca="1"/>
        <v>-31076.369309450271</v>
      </c>
      <c r="AU76" s="31">
        <v>20.64</v>
      </c>
    </row>
    <row r="77" spans="43:47" ht="20.25" customHeight="1">
      <c r="AQ77" s="31">
        <f ca="1"/>
        <v>-5626.3131158507786</v>
      </c>
      <c r="AR77" s="31">
        <v>23.759999999999998</v>
      </c>
      <c r="AT77" s="31">
        <f ca="1"/>
        <v>-29832.564421608771</v>
      </c>
      <c r="AU77" s="31">
        <v>20.88</v>
      </c>
    </row>
    <row r="78" spans="43:47" ht="20.25" customHeight="1">
      <c r="AQ78" s="31">
        <f ca="1"/>
        <v>333.27153803010515</v>
      </c>
      <c r="AR78" s="31">
        <v>24.239999999999995</v>
      </c>
      <c r="AT78" s="31">
        <f ca="1"/>
        <v>-28482.909824091479</v>
      </c>
      <c r="AU78" s="31">
        <v>21.119999999999997</v>
      </c>
    </row>
    <row r="79" spans="43:47" ht="20.25" customHeight="1">
      <c r="AQ79" s="31">
        <f ca="1"/>
        <v>6925.4795453686493</v>
      </c>
      <c r="AR79" s="31">
        <v>24.72</v>
      </c>
      <c r="AT79" s="31">
        <f ca="1"/>
        <v>-27023.920209123116</v>
      </c>
      <c r="AU79" s="31">
        <v>21.36</v>
      </c>
    </row>
    <row r="80" spans="43:47" ht="20.25" customHeight="1">
      <c r="AQ80" s="31">
        <f ca="1"/>
        <v>14182.657709198345</v>
      </c>
      <c r="AR80" s="31">
        <v>25.200000000000003</v>
      </c>
      <c r="AT80" s="31">
        <f ca="1"/>
        <v>-25452.071783231691</v>
      </c>
      <c r="AU80" s="31">
        <v>21.6</v>
      </c>
    </row>
    <row r="81" spans="43:47" ht="20.25" customHeight="1">
      <c r="AQ81" s="31">
        <f ca="1"/>
        <v>22137.768603701883</v>
      </c>
      <c r="AR81" s="31">
        <v>25.68</v>
      </c>
      <c r="AT81" s="31">
        <f ca="1"/>
        <v>-23763.802267248295</v>
      </c>
      <c r="AU81" s="31">
        <v>21.84</v>
      </c>
    </row>
    <row r="82" spans="43:47" ht="20.25" customHeight="1">
      <c r="AQ82" s="31">
        <f ca="1"/>
        <v>30824.390574211207</v>
      </c>
      <c r="AR82" s="31">
        <v>26.159999999999997</v>
      </c>
      <c r="AT82" s="31">
        <f ca="1"/>
        <v>-21955.510896307202</v>
      </c>
      <c r="AU82" s="31">
        <v>22.08</v>
      </c>
    </row>
    <row r="83" spans="43:47" ht="20.25" customHeight="1">
      <c r="AQ83" s="31">
        <f ca="1"/>
        <v>40276.717737207684</v>
      </c>
      <c r="AR83" s="31">
        <v>26.64</v>
      </c>
      <c r="AT83" s="31">
        <f ca="1"/>
        <v>-20023.558419845856</v>
      </c>
      <c r="AU83" s="31">
        <v>22.32</v>
      </c>
    </row>
    <row r="84" spans="43:47" ht="20.25" customHeight="1">
      <c r="AQ84" s="31">
        <f ca="1"/>
        <v>50529.559980321268</v>
      </c>
      <c r="AR84" s="31">
        <v>27.119999999999997</v>
      </c>
      <c r="AT84" s="31">
        <f ca="1"/>
        <v>-17964.267101604917</v>
      </c>
      <c r="AU84" s="31">
        <v>22.56</v>
      </c>
    </row>
    <row r="85" spans="43:47" ht="20.25" customHeight="1">
      <c r="AQ85" s="31">
        <f ca="1"/>
        <v>61618.342962331837</v>
      </c>
      <c r="AR85" s="31">
        <v>27.6</v>
      </c>
      <c r="AT85" s="31">
        <f ca="1"/>
        <v>-15773.920719628182</v>
      </c>
      <c r="AU85" s="31">
        <v>22.8</v>
      </c>
    </row>
    <row r="86" spans="43:47" ht="20.25" customHeight="1">
      <c r="AQ86" s="31">
        <f ca="1"/>
        <v>73579.108113167778</v>
      </c>
      <c r="AR86" s="31">
        <v>28.08</v>
      </c>
      <c r="AT86" s="31">
        <f ca="1"/>
        <v>-13448.764566262664</v>
      </c>
      <c r="AU86" s="31">
        <v>23.04</v>
      </c>
    </row>
    <row r="87" spans="43:47" ht="20.25" customHeight="1">
      <c r="AQ87" s="31">
        <f ca="1"/>
        <v>86448.512633907347</v>
      </c>
      <c r="AR87" s="31">
        <v>28.560000000000002</v>
      </c>
      <c r="AT87" s="31">
        <f ca="1"/>
        <v>-10985.00544815847</v>
      </c>
      <c r="AU87" s="31">
        <v>23.28</v>
      </c>
    </row>
    <row r="88" spans="43:47" ht="20.25" customHeight="1">
      <c r="AQ88" s="31">
        <f ca="1"/>
        <v>100263.82949677733</v>
      </c>
      <c r="AR88" s="31">
        <v>29.04</v>
      </c>
      <c r="AT88" s="31">
        <f ca="1"/>
        <v>-8378.8116862690113</v>
      </c>
      <c r="AU88" s="31">
        <v>23.52</v>
      </c>
    </row>
    <row r="89" spans="43:47" ht="20.25" customHeight="1">
      <c r="AQ89" s="31">
        <f ca="1"/>
        <v>115062.94744515391</v>
      </c>
      <c r="AR89" s="31">
        <v>29.519999999999996</v>
      </c>
      <c r="AT89" s="31">
        <f ca="1"/>
        <v>-5626.3131158507786</v>
      </c>
      <c r="AU89" s="31">
        <v>23.759999999999998</v>
      </c>
    </row>
    <row r="90" spans="43:47" ht="20.25" customHeight="1">
      <c r="AQ90" s="31">
        <f ca="1"/>
        <v>130884.37099356311</v>
      </c>
      <c r="AR90" s="31">
        <v>30</v>
      </c>
      <c r="AT90" s="31">
        <f ca="1"/>
        <v>-2723.6010864634191</v>
      </c>
      <c r="AU90" s="31">
        <v>24</v>
      </c>
    </row>
    <row r="91" spans="43:47" ht="20.25" customHeight="1">
      <c r="AQ91" s="31">
        <f ca="1"/>
        <v>147767.22042767899</v>
      </c>
      <c r="AR91" s="31">
        <v>30.479999999999997</v>
      </c>
      <c r="AT91" s="31">
        <f ca="1"/>
        <v>333.2715380301488</v>
      </c>
      <c r="AU91" s="31">
        <v>24.24</v>
      </c>
    </row>
    <row r="92" spans="43:47" ht="20.25" customHeight="1">
      <c r="AQ92" s="31">
        <f ca="1"/>
        <v>165751.23180432586</v>
      </c>
      <c r="AR92" s="31">
        <v>30.96</v>
      </c>
      <c r="AT92" s="31">
        <f ca="1"/>
        <v>3548.2903794639533</v>
      </c>
      <c r="AU92" s="31">
        <v>24.48</v>
      </c>
    </row>
    <row r="93" spans="43:47" ht="20.25" customHeight="1">
      <c r="AQ93" s="31">
        <f ca="1"/>
        <v>184876.75695147639</v>
      </c>
      <c r="AR93" s="31">
        <v>31.439999999999998</v>
      </c>
      <c r="AT93" s="31">
        <f ca="1"/>
        <v>6925.4795453686493</v>
      </c>
      <c r="AU93" s="31">
        <v>24.72</v>
      </c>
    </row>
    <row r="94" spans="43:47" ht="20.25" customHeight="1">
      <c r="AQ94" s="31">
        <f ca="1"/>
        <v>205184.76346825331</v>
      </c>
      <c r="AR94" s="31">
        <v>31.92</v>
      </c>
      <c r="AT94" s="31">
        <f ca="1"/>
        <v>10468.901628971955</v>
      </c>
      <c r="AU94" s="31">
        <v>24.96</v>
      </c>
    </row>
    <row r="95" spans="43:47" ht="20.25" customHeight="1">
      <c r="AQ95" s="31">
        <f ca="1"/>
        <v>226716.83472492735</v>
      </c>
      <c r="AR95" s="31">
        <v>32.4</v>
      </c>
      <c r="AT95" s="31">
        <f ca="1"/>
        <v>14182.657709198302</v>
      </c>
      <c r="AU95" s="31">
        <v>25.2</v>
      </c>
    </row>
    <row r="96" spans="43:47" ht="20.25" customHeight="1">
      <c r="AQ96" s="31">
        <f ca="1"/>
        <v>249515.16986291949</v>
      </c>
      <c r="AR96" s="31">
        <v>32.879999999999995</v>
      </c>
      <c r="AT96" s="31">
        <f ca="1"/>
        <v>18070.887350668851</v>
      </c>
      <c r="AU96" s="31">
        <v>25.439999999999998</v>
      </c>
    </row>
    <row r="97" spans="43:47" ht="20.25" customHeight="1">
      <c r="AQ97" s="31">
        <f ca="1"/>
        <v>273622.58379479981</v>
      </c>
      <c r="AR97" s="31">
        <v>33.36</v>
      </c>
      <c r="AT97" s="31">
        <f ca="1"/>
        <v>22137.768603701883</v>
      </c>
      <c r="AU97" s="31">
        <v>25.68</v>
      </c>
    </row>
    <row r="98" spans="43:47" ht="20.25" customHeight="1">
      <c r="AQ98" s="31">
        <f ca="1"/>
        <v>299082.50720428693</v>
      </c>
      <c r="AR98" s="31">
        <v>33.839999999999996</v>
      </c>
      <c r="AT98" s="31">
        <f ca="1"/>
        <v>26387.51800431206</v>
      </c>
      <c r="AU98" s="31">
        <v>25.919999999999998</v>
      </c>
    </row>
    <row r="99" spans="43:47" ht="20.25" customHeight="1">
      <c r="AQ99" s="31">
        <f ca="1"/>
        <v>325938.98654624925</v>
      </c>
      <c r="AR99" s="31">
        <v>34.32</v>
      </c>
      <c r="AT99" s="31">
        <f ca="1"/>
        <v>30824.390574211222</v>
      </c>
      <c r="AU99" s="31">
        <v>26.16</v>
      </c>
    </row>
    <row r="100" spans="43:47" ht="20.25" customHeight="1">
      <c r="AQ100" s="31">
        <f ca="1"/>
        <v>354236.68404670368</v>
      </c>
      <c r="AR100" s="31">
        <v>34.799999999999997</v>
      </c>
      <c r="AT100" s="31">
        <f ca="1"/>
        <v>35452.679820807942</v>
      </c>
      <c r="AU100" s="31">
        <v>26.4</v>
      </c>
    </row>
    <row r="101" spans="43:47" ht="20.25" customHeight="1">
      <c r="AQ101" s="31">
        <f ca="1"/>
        <v>384020.87770281773</v>
      </c>
      <c r="AR101" s="31">
        <v>35.28</v>
      </c>
      <c r="AT101" s="31">
        <f ca="1"/>
        <v>40276.717737207684</v>
      </c>
      <c r="AU101" s="31">
        <v>26.64</v>
      </c>
    </row>
    <row r="102" spans="43:47" ht="20.25" customHeight="1">
      <c r="AQ102" s="31">
        <f ca="1"/>
        <v>415337.46128290618</v>
      </c>
      <c r="AR102" s="31">
        <v>35.76</v>
      </c>
      <c r="AT102" s="31">
        <f ca="1"/>
        <v>45300.874802212304</v>
      </c>
      <c r="AU102" s="31">
        <v>26.88</v>
      </c>
    </row>
    <row r="103" spans="43:47" ht="20.25" customHeight="1">
      <c r="AQ103" s="31">
        <f ca="1"/>
        <v>448232.94432643446</v>
      </c>
      <c r="AR103" s="31">
        <v>36.239999999999995</v>
      </c>
      <c r="AT103" s="31">
        <f ca="1"/>
        <v>50529.559980321268</v>
      </c>
      <c r="AU103" s="31">
        <v>27.119999999999997</v>
      </c>
    </row>
    <row r="104" spans="43:47" ht="20.25" customHeight="1">
      <c r="AQ104" s="31">
        <f ca="1"/>
        <v>482754.4521440168</v>
      </c>
      <c r="AR104" s="31">
        <v>36.72</v>
      </c>
      <c r="AT104" s="31">
        <f ca="1"/>
        <v>55967.220721730264</v>
      </c>
      <c r="AU104" s="31">
        <v>27.36</v>
      </c>
    </row>
    <row r="105" spans="43:47" ht="20.25" customHeight="1">
      <c r="AQ105" s="31">
        <f ca="1"/>
        <v>518949.72581741615</v>
      </c>
      <c r="AR105" s="31">
        <v>37.199999999999996</v>
      </c>
      <c r="AT105" s="31">
        <f ca="1"/>
        <v>61618.342962331706</v>
      </c>
      <c r="AU105" s="31">
        <v>27.599999999999998</v>
      </c>
    </row>
    <row r="106" spans="43:47" ht="20.25" customHeight="1">
      <c r="AQ106" s="31">
        <f ca="1"/>
        <v>556867.12219954573</v>
      </c>
      <c r="AR106" s="31">
        <v>37.68</v>
      </c>
      <c r="AT106" s="31">
        <f ca="1"/>
        <v>67487.451123715538</v>
      </c>
      <c r="AU106" s="31">
        <v>27.84</v>
      </c>
    </row>
    <row r="107" spans="43:47" ht="20.25" customHeight="1">
      <c r="AQ107" s="31">
        <f ca="1"/>
        <v>596555.61391446611</v>
      </c>
      <c r="AR107" s="31">
        <v>38.159999999999997</v>
      </c>
      <c r="AT107" s="31">
        <f ca="1"/>
        <v>73579.108113167778</v>
      </c>
      <c r="AU107" s="31">
        <v>28.08</v>
      </c>
    </row>
    <row r="108" spans="43:47" ht="20.25" customHeight="1">
      <c r="AQ108" s="31">
        <f ca="1"/>
        <v>638064.78935738932</v>
      </c>
      <c r="AR108" s="31">
        <v>38.64</v>
      </c>
      <c r="AT108" s="31">
        <f ca="1"/>
        <v>79897.915323671739</v>
      </c>
      <c r="AU108" s="31">
        <v>28.32</v>
      </c>
    </row>
    <row r="109" spans="43:47" ht="20.25" customHeight="1">
      <c r="AQ109" s="31">
        <f ca="1"/>
        <v>681444.85269467474</v>
      </c>
      <c r="AR109" s="31">
        <v>39.119999999999997</v>
      </c>
      <c r="AT109" s="31">
        <f ca="1"/>
        <v>86448.512633907274</v>
      </c>
      <c r="AU109" s="31">
        <v>28.56</v>
      </c>
    </row>
    <row r="110" spans="43:47" ht="20.25" customHeight="1">
      <c r="AQ110" s="31">
        <f ca="1"/>
        <v>726746.62386383221</v>
      </c>
      <c r="AR110" s="31">
        <v>39.6</v>
      </c>
      <c r="AT110" s="31">
        <f ca="1"/>
        <v>93235.57840825124</v>
      </c>
      <c r="AU110" s="31">
        <v>28.8</v>
      </c>
    </row>
    <row r="111" spans="43:47" ht="20.25" customHeight="1">
      <c r="AQ111" s="31">
        <f ca="1"/>
        <v>774021.53857351956</v>
      </c>
      <c r="AR111" s="31">
        <v>40.08</v>
      </c>
      <c r="AT111" s="31">
        <f ca="1"/>
        <v>100263.82949677733</v>
      </c>
      <c r="AU111" s="31">
        <v>29.04</v>
      </c>
    </row>
    <row r="112" spans="43:47" ht="20.25" customHeight="1">
      <c r="AQ112" s="31">
        <f ca="1"/>
        <v>823321.64830354485</v>
      </c>
      <c r="AR112" s="31">
        <v>40.559999999999995</v>
      </c>
      <c r="AT112" s="31">
        <f ca="1"/>
        <v>107538.02123525574</v>
      </c>
      <c r="AU112" s="31">
        <v>29.279999999999998</v>
      </c>
    </row>
    <row r="113" spans="43:47" ht="20.25" customHeight="1">
      <c r="AQ113" s="31">
        <f ca="1"/>
        <v>874699.6203048653</v>
      </c>
      <c r="AR113" s="31">
        <v>41.04</v>
      </c>
      <c r="AT113" s="31">
        <f ca="1"/>
        <v>115062.94744515403</v>
      </c>
      <c r="AU113" s="31">
        <v>29.52</v>
      </c>
    </row>
    <row r="114" spans="43:47" ht="20.25" customHeight="1">
      <c r="AQ114" s="31">
        <f ca="1"/>
        <v>928208.73759958602</v>
      </c>
      <c r="AR114" s="31">
        <v>41.519999999999996</v>
      </c>
      <c r="AT114" s="31">
        <f ca="1"/>
        <v>122843.44043363609</v>
      </c>
      <c r="AU114" s="31">
        <v>29.759999999999998</v>
      </c>
    </row>
    <row r="115" spans="43:47" ht="20.25" customHeight="1">
      <c r="AQ115" s="31">
        <f ca="1"/>
        <v>983902.89898096363</v>
      </c>
      <c r="AR115" s="31">
        <v>42</v>
      </c>
      <c r="AT115" s="31">
        <f ca="1"/>
        <v>130884.37099356311</v>
      </c>
      <c r="AU115" s="31">
        <v>30</v>
      </c>
    </row>
  </sheetData>
  <sheetProtection algorithmName="SHA-512" hashValue="v0d2rCIX6BPxx5xBkgNcb8BQWJ9gGoKuMB87BXKgzFdw/CQN0c3k5TO5r7OUHg2bSXnWC1NEHveCgOObky1n4w==" saltValue="4/CMRf9FQi/EUPppJDVIFQ==" spinCount="100000" sheet="1" objects="1" scenarios="1"/>
  <phoneticPr fontId="2"/>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CBD26-2A2F-43F4-B653-5CDBC054F678}">
  <sheetPr codeName="Sheet31">
    <tabColor theme="0" tint="-0.499984740745262"/>
  </sheetPr>
  <dimension ref="A1:AZ115"/>
  <sheetViews>
    <sheetView showGridLines="0" workbookViewId="0"/>
  </sheetViews>
  <sheetFormatPr defaultColWidth="3.375" defaultRowHeight="20.25" customHeight="1"/>
  <cols>
    <col min="1" max="2" width="3.375" style="31"/>
    <col min="3" max="3" width="27.75" style="31" bestFit="1" customWidth="1"/>
    <col min="4" max="4" width="10" style="31" bestFit="1" customWidth="1"/>
    <col min="5" max="5" width="3.75" style="31" bestFit="1" customWidth="1"/>
    <col min="6" max="9" width="3.375" style="31"/>
    <col min="10" max="10" width="38.75" style="31" bestFit="1" customWidth="1"/>
    <col min="11" max="11" width="9.375" style="31" customWidth="1"/>
    <col min="12" max="12" width="5.375" style="31" bestFit="1" customWidth="1"/>
    <col min="13" max="14" width="3.375" style="31"/>
    <col min="15" max="15" width="3.75" style="31" bestFit="1" customWidth="1"/>
    <col min="16" max="16" width="3.75" style="31" customWidth="1"/>
    <col min="17" max="17" width="27.625" style="31" bestFit="1" customWidth="1"/>
    <col min="18" max="18" width="15.875" style="31" customWidth="1"/>
    <col min="19" max="22" width="3.75" style="31" customWidth="1"/>
    <col min="23" max="25" width="3.375" style="31"/>
    <col min="26" max="26" width="21.375" style="31" bestFit="1" customWidth="1"/>
    <col min="27" max="27" width="21" style="31" bestFit="1" customWidth="1"/>
    <col min="28" max="28" width="3.75" style="31" bestFit="1" customWidth="1"/>
    <col min="29" max="42" width="3.375" style="31"/>
    <col min="43" max="44" width="8.125" style="31" customWidth="1"/>
    <col min="45" max="45" width="3.375" style="31" customWidth="1"/>
    <col min="46" max="47" width="8.125" style="31" customWidth="1"/>
    <col min="48" max="49" width="3.375" style="31"/>
    <col min="50" max="50" width="13.125" style="31" bestFit="1" customWidth="1"/>
    <col min="51" max="51" width="13.25" style="31" customWidth="1"/>
    <col min="52" max="52" width="4.25" style="31" bestFit="1" customWidth="1"/>
    <col min="53" max="16384" width="3.375" style="31"/>
  </cols>
  <sheetData>
    <row r="1" spans="1:52" s="40" customFormat="1" ht="20.25" customHeight="1">
      <c r="A1" s="40" t="s">
        <v>509</v>
      </c>
    </row>
    <row r="2" spans="1:52" s="40" customFormat="1" ht="30">
      <c r="B2" s="41" t="str">
        <f ca="1">_xlfn.LET(
    _xlpm._header, "回転数を数値計算で求める",
    _xlpm._numbering, IFERROR(K8,K9),
    _xlpm._header &amp; "（要求条件番号：" &amp; _xlpm._numbering &amp; "）"
)</f>
        <v>回転数を数値計算で求める（要求条件番号：10）</v>
      </c>
    </row>
    <row r="3" spans="1:52" s="39" customFormat="1" ht="7.5" customHeight="1"/>
    <row r="5" spans="1:52" ht="20.25" customHeight="1">
      <c r="B5" s="31" t="s">
        <v>102</v>
      </c>
      <c r="G5" s="31" t="s">
        <v>101</v>
      </c>
      <c r="N5" s="31" t="s">
        <v>303</v>
      </c>
    </row>
    <row r="6" spans="1:52" ht="20.25" customHeight="1">
      <c r="C6" s="31" t="s">
        <v>302</v>
      </c>
      <c r="D6" s="31">
        <f ca="1">AY7</f>
        <v>25.630578517913818</v>
      </c>
      <c r="E6" s="31" t="s">
        <v>104</v>
      </c>
      <c r="H6" s="31" t="s">
        <v>99</v>
      </c>
      <c r="O6" s="31" t="s">
        <v>301</v>
      </c>
      <c r="V6" s="31" t="s">
        <v>300</v>
      </c>
      <c r="AW6" s="31" t="s">
        <v>299</v>
      </c>
    </row>
    <row r="7" spans="1:52" ht="20.25" customHeight="1">
      <c r="I7" s="31" t="s">
        <v>343</v>
      </c>
      <c r="AX7" s="33" t="s">
        <v>266</v>
      </c>
      <c r="AY7" s="31">
        <f ca="1">_xlfn.LET(
    _xlpm._N_bisection, AA36,
    _xlpm._N_initial, AA32,
    _xlpm._initial_values_are_invalid, AA30,
    _xlpm._m_c_is_out_of_range, NOT(R24),
    _xlpm._N_initial_is_one_of_the_roots, AA31,
    _xlpm._converged, AA35,
    IF(
        OR(
            _xlpm._initial_values_are_invalid,
            _xlpm._m_c_is_out_of_range
        ),
        NA(),
        IF(
            _xlpm._N_initial_is_one_of_the_roots,
            _xlpm._N_initial,
            IF(_xlpm._converged, _xlpm._N_bisection, NA())
        )
    )
)</f>
        <v>25.630578517913818</v>
      </c>
      <c r="AZ7" s="31" t="s">
        <v>104</v>
      </c>
    </row>
    <row r="8" spans="1:52" ht="20.25" customHeight="1">
      <c r="J8" s="33" t="s">
        <v>344</v>
      </c>
      <c r="K8" s="53" cm="1">
        <f t="array" aca="1" ref="K8" ca="1">_xlfn.LET(
    _xlpm._name_sheet, _xlfn.TEXTAFTER(
        _xlfn.TAKE(_xlfn.TEXTSPLIT( CELL("filename",A1), , "\"), -1),
        "]"
    ),
   VALUE(_xlfn.TEXTAFTER(_xlpm._name_sheet, "_"))
)</f>
        <v>10</v>
      </c>
    </row>
    <row r="9" spans="1:52" ht="20.25" customHeight="1">
      <c r="J9" s="33" t="s">
        <v>345</v>
      </c>
      <c r="K9" s="32">
        <v>10</v>
      </c>
      <c r="Q9" s="33" t="s">
        <v>295</v>
      </c>
      <c r="R9" s="31">
        <f ca="1">_xlfn.LET(
    _xlpm._m_c, K10,
    _xlpm._rho, K13,
    _xlpm._N_r, K21,
    _xlpm._D, K20,
    _xlpm._m_c * _xlpm._rho ^ -1 * _xlpm._N_r ^ -1 * _xlpm._D ^ -3
)</f>
        <v>3.1481481481481484</v>
      </c>
      <c r="S9" s="31" t="s">
        <v>84</v>
      </c>
    </row>
    <row r="10" spans="1:52" ht="20.25" customHeight="1">
      <c r="J10" s="33" t="s">
        <v>298</v>
      </c>
      <c r="K10" s="32" cm="1">
        <f t="array" aca="1" ref="K10" ca="1">_xlfn.LET(
    _xlpm._m_c,_xlfn.ANCHORARRAY( prm!A5),
    _xlpm._numbering, IFERROR(K8,K9),
    INDEX(_xlpm._m_c, _xlpm._numbering)
)</f>
        <v>2550</v>
      </c>
      <c r="L10" s="31" t="s">
        <v>92</v>
      </c>
      <c r="AR10" s="48" t="s">
        <v>210</v>
      </c>
    </row>
    <row r="11" spans="1:52" ht="20.25" customHeight="1">
      <c r="J11" s="33" t="s">
        <v>297</v>
      </c>
      <c r="K11" s="32" cm="1">
        <f t="array" aca="1" ref="K11" ca="1">_xlfn.LET(
    _xlpm._dP_c,_xlfn.ANCHORARRAY( prm!B5),
    _xlpm._numbering, IFERROR(K8,K9),
    INDEX(_xlpm._dP_c, _xlpm._numbering)
)</f>
        <v>219.51999999999998</v>
      </c>
      <c r="L11" s="31" t="s">
        <v>296</v>
      </c>
      <c r="P11" s="31" t="s">
        <v>294</v>
      </c>
      <c r="AR11" s="32">
        <v>1</v>
      </c>
      <c r="AT11" s="31" t="s">
        <v>336</v>
      </c>
    </row>
    <row r="12" spans="1:52" ht="20.25" customHeight="1">
      <c r="I12" s="31" t="s">
        <v>342</v>
      </c>
      <c r="J12" s="33"/>
      <c r="K12" s="33"/>
      <c r="L12" s="33"/>
      <c r="AQ12" s="37" t="s">
        <v>202</v>
      </c>
      <c r="AR12" s="37" t="s">
        <v>201</v>
      </c>
      <c r="AT12" s="37" t="s">
        <v>202</v>
      </c>
      <c r="AU12" s="37" t="s">
        <v>201</v>
      </c>
    </row>
    <row r="13" spans="1:52" ht="20.25" customHeight="1">
      <c r="J13" s="33" t="s">
        <v>115</v>
      </c>
      <c r="K13" s="32">
        <f>10^3</f>
        <v>1000</v>
      </c>
      <c r="L13" s="31" t="s">
        <v>114</v>
      </c>
      <c r="AQ13" s="47" t="s">
        <v>335</v>
      </c>
      <c r="AR13" s="47" t="s">
        <v>334</v>
      </c>
      <c r="AT13" s="47" t="s">
        <v>335</v>
      </c>
      <c r="AU13" s="47" t="s">
        <v>334</v>
      </c>
    </row>
    <row r="14" spans="1:52" ht="20.25" customHeight="1">
      <c r="J14" s="33"/>
      <c r="AQ14" s="35" t="s">
        <v>84</v>
      </c>
      <c r="AR14" s="35" t="s">
        <v>84</v>
      </c>
      <c r="AT14" s="35" t="s">
        <v>84</v>
      </c>
      <c r="AU14" s="35" t="s">
        <v>84</v>
      </c>
    </row>
    <row r="15" spans="1:52" ht="20.25" customHeight="1">
      <c r="I15" s="31" t="s">
        <v>529</v>
      </c>
      <c r="X15" s="31" t="s">
        <v>293</v>
      </c>
      <c r="AQ15" s="31" cm="1">
        <f t="array" aca="1" ref="AQ15:AQ115" ca="1">_xlfn.LET(
    _xlpm._coefficient, TRANSPOSE(AA17:AA21),
    _xlpm._values_N,_xlfn.ANCHORARRAY( AR15),
    _xlfn.MAP(
        _xlpm._values_N,
        _xlfn.LAMBDA(_xlpm._N,
            SUM(
                _xlpm._coefficient *
                    _xlfn.HSTACK(_xlpm._N ^ {4,3,2,1}, 1)
            )
        )
    )
)</f>
        <v>-98138.503233356401</v>
      </c>
      <c r="AR15" s="31" cm="1">
        <f t="array" ref="AR15:AR115">_xlfn.LET(
    _xlpm._number_divisions, 100,
    _xlpm._rate_extrapolation, AR11,
    _xlpm._N0, AA24,
    _xlpm._N1, AA25,
    _xlpm._extrapolation, (_xlpm._N1 - _xlpm._N0) * _xlpm._rate_extrapolation,
    ((_xlpm._N1 - _xlpm._N0) + _xlpm._extrapolation) / _xlpm._number_divisions *
        (_xlfn.SEQUENCE(_xlpm._number_divisions + 1) - 1) + _xlpm._N0 -
        _xlpm._extrapolation / 2
)</f>
        <v>-6</v>
      </c>
      <c r="AT15" s="31" cm="1">
        <f t="array" aca="1" ref="AT15:AT115" ca="1">_xlfn.LET(
    _xlpm._coefficient, TRANSPOSE(AA17:AA21),
    _xlpm._values_N,_xlfn.ANCHORARRAY( AU15),
    _xlfn.MAP(
        _xlpm._values_N,
        _xlfn.LAMBDA(_xlpm._N,
            SUM(
                _xlpm._coefficient *
                    _xlfn.HSTACK(_xlpm._N ^ {4,3,2,1}, 1)
            )
        )
    )
)</f>
        <v>-30172.470935248817</v>
      </c>
      <c r="AU15" s="31" cm="1">
        <f t="array" ref="AU15:AU115">_xlfn.LET(
    _xlpm._number_divisions, 100,
    _xlpm._N0, AA24,
    _xlpm._N1, AA25,
    (_xlpm._N1 - _xlpm._N0) / _xlpm._number_divisions *
        (_xlfn.SEQUENCE(_xlpm._number_divisions + 1) - 1) + _xlpm._N0
)</f>
        <v>6</v>
      </c>
    </row>
    <row r="16" spans="1:52" ht="20.25" customHeight="1">
      <c r="J16" s="33" t="s">
        <v>530</v>
      </c>
      <c r="K16" s="32">
        <f>'C1'!E14</f>
        <v>1.832382785185185E-2</v>
      </c>
      <c r="L16" s="31" t="s">
        <v>5</v>
      </c>
      <c r="Y16" s="31" t="s">
        <v>292</v>
      </c>
      <c r="AQ16" s="31">
        <f ca="1"/>
        <v>-92752.301411356457</v>
      </c>
      <c r="AR16" s="31">
        <v>-5.52</v>
      </c>
      <c r="AT16" s="31">
        <f ca="1"/>
        <v>-30163.750323851473</v>
      </c>
      <c r="AU16" s="31">
        <v>6.24</v>
      </c>
    </row>
    <row r="17" spans="9:47" ht="20.25" customHeight="1">
      <c r="J17" s="33" t="s">
        <v>531</v>
      </c>
      <c r="K17" s="32">
        <f>'C1'!E15</f>
        <v>5.6803866333333337</v>
      </c>
      <c r="L17" s="31" t="s">
        <v>5</v>
      </c>
      <c r="Q17" s="33" t="s">
        <v>291</v>
      </c>
      <c r="R17" s="31">
        <f>_xlfn.LET(
    _xlpm._rho, K13,
    _xlpm._N_r, K21,
    _xlpm._D, K20,
    _xlpm._C_f_p, K33,
    _xlpm._C_f_min_sample, K16,
    _xlpm._local_maximum_exists, K32,
    IF(
        _xlpm._local_maximum_exists,
        _xlpm._C_f_p,
        _xlpm._C_f_min_sample
    )
)</f>
        <v>0.28465364146978933</v>
      </c>
      <c r="S17" s="31" t="s">
        <v>84</v>
      </c>
      <c r="Z17" s="33" t="s">
        <v>290</v>
      </c>
      <c r="AA17" s="31">
        <f>_xlfn.LET(
    _xlpm._alpha_5, K30,
    _xlpm._rho, K13,
    _xlpm._D, K20,
    _xlpm._rho * _xlpm._D ^ 2 * _xlpm._alpha_5 * 10 ^ -3
)</f>
        <v>0.48332932491123698</v>
      </c>
      <c r="AQ17" s="31">
        <f ca="1"/>
        <v>-87570.459769246518</v>
      </c>
      <c r="AR17" s="31">
        <v>-5.04</v>
      </c>
      <c r="AT17" s="31">
        <f ca="1"/>
        <v>-30196.886618076318</v>
      </c>
      <c r="AU17" s="31">
        <v>6.48</v>
      </c>
    </row>
    <row r="18" spans="9:47" ht="20.25" customHeight="1">
      <c r="Z18" s="33" t="s">
        <v>288</v>
      </c>
      <c r="AA18" s="31">
        <f ca="1">_xlfn.LET(
    _xlpm._alpha_4, K29,
    _xlpm._m_c, K10,
    _xlpm._D, K20,
    _xlpm._alpha_4 * _xlpm._m_c * _xlpm._D ^ -1 * 10 ^ -3
)</f>
        <v>1.578163889755446</v>
      </c>
      <c r="AQ18" s="31">
        <f ca="1"/>
        <v>-82598.704595862248</v>
      </c>
      <c r="AR18" s="31">
        <v>-4.5600000000000005</v>
      </c>
      <c r="AT18" s="31">
        <f ca="1"/>
        <v>-30270.729047731824</v>
      </c>
      <c r="AU18" s="31">
        <v>6.72</v>
      </c>
    </row>
    <row r="19" spans="9:47" ht="20.25" customHeight="1">
      <c r="I19" s="31" t="s">
        <v>112</v>
      </c>
      <c r="J19" s="33"/>
      <c r="Z19" s="33" t="s">
        <v>286</v>
      </c>
      <c r="AA19" s="31">
        <f ca="1">_xlfn.LET(
    _xlpm._alpha_3, K28,
    _xlpm._m_c, K10,
    _xlpm._rho, K13,
    _xlpm._D, K20,
    _xlpm._dP_c, K11,
    _xlpm._alpha_3 * _xlpm._m_c ^ 2 * 10 ^ -3 * _xlpm._rho ^ -1 * _xlpm._D ^ -4 - _xlpm._dP_c
)</f>
        <v>-505.83036595231141</v>
      </c>
      <c r="AQ19" s="31">
        <f ca="1"/>
        <v>-77842.146408890185</v>
      </c>
      <c r="AR19" s="31">
        <v>-4.08</v>
      </c>
      <c r="AT19" s="31">
        <f ca="1"/>
        <v>-30384.088356929642</v>
      </c>
      <c r="AU19" s="31">
        <v>6.96</v>
      </c>
    </row>
    <row r="20" spans="9:47" ht="20.25" customHeight="1">
      <c r="J20" s="33" t="s">
        <v>111</v>
      </c>
      <c r="K20" s="32">
        <v>0.3</v>
      </c>
      <c r="L20" s="31" t="s">
        <v>110</v>
      </c>
      <c r="Z20" s="33" t="s">
        <v>285</v>
      </c>
      <c r="AA20" s="31">
        <f ca="1">_xlfn.LET(
    _xlpm._alpha_2, K27,
    _xlpm._m_c, K10,
    _xlpm._rho, K13,
    _xlpm._D, K20,
    _xlpm._alpha_2 * _xlpm._m_c ^ 3 * 10 ^ -3 * _xlpm._rho ^ -2 * _xlpm._D ^ -7
)</f>
        <v>5607.0221248111029</v>
      </c>
      <c r="AQ20" s="31">
        <f ca="1"/>
        <v>-73305.279954867699</v>
      </c>
      <c r="AR20" s="31">
        <v>-3.5999999999999996</v>
      </c>
      <c r="AT20" s="31">
        <f ca="1"/>
        <v>-30535.73680408462</v>
      </c>
      <c r="AU20" s="31">
        <v>7.2</v>
      </c>
    </row>
    <row r="21" spans="9:47" ht="20.25" customHeight="1">
      <c r="J21" s="33" t="s">
        <v>105</v>
      </c>
      <c r="K21" s="32">
        <f>prm!D5</f>
        <v>30</v>
      </c>
      <c r="L21" s="31" t="s">
        <v>104</v>
      </c>
      <c r="Q21" s="33" t="s">
        <v>283</v>
      </c>
      <c r="R21" s="31">
        <f>K17</f>
        <v>5.6803866333333337</v>
      </c>
      <c r="S21" s="31" t="s">
        <v>84</v>
      </c>
      <c r="Z21" s="33" t="s">
        <v>282</v>
      </c>
      <c r="AA21" s="31">
        <f ca="1">_xlfn.LET(
    _xlpm._alpha_1, K26,
    _xlpm._m_c, K10,
    _xlpm._rho, K13,
    _xlpm._D, K20,
    _xlpm._alpha_1 * _xlpm._m_c ^ 4 * 10 ^ -3 * _xlpm._rho ^ -3 * _xlpm._D ^ -10
)</f>
        <v>-46571.988715104359</v>
      </c>
      <c r="AQ21" s="31">
        <f ca="1"/>
        <v>-68991.984209182949</v>
      </c>
      <c r="AR21" s="31">
        <v>-3.120000000000001</v>
      </c>
      <c r="AT21" s="31">
        <f ca="1"/>
        <v>-30724.408161914758</v>
      </c>
      <c r="AU21" s="31">
        <v>7.4399999999999995</v>
      </c>
    </row>
    <row r="22" spans="9:47" ht="20.25" customHeight="1">
      <c r="J22" s="33" t="s">
        <v>289</v>
      </c>
      <c r="K22" s="32">
        <f>prm!E5</f>
        <v>0.2</v>
      </c>
      <c r="L22" s="31" t="s">
        <v>84</v>
      </c>
      <c r="Z22" s="33"/>
      <c r="AQ22" s="31">
        <f ca="1"/>
        <v>-64905.522376074849</v>
      </c>
      <c r="AR22" s="31">
        <v>-2.6400000000000006</v>
      </c>
      <c r="AT22" s="31">
        <f ca="1"/>
        <v>-30948.79771744123</v>
      </c>
      <c r="AU22" s="31">
        <v>7.68</v>
      </c>
    </row>
    <row r="23" spans="9:47" ht="20.25" customHeight="1">
      <c r="J23" s="33" t="s">
        <v>287</v>
      </c>
      <c r="K23" s="32">
        <f>prm!F5</f>
        <v>1</v>
      </c>
      <c r="L23" s="31" t="s">
        <v>84</v>
      </c>
      <c r="P23" s="31" t="s">
        <v>281</v>
      </c>
      <c r="Y23" s="31" t="s">
        <v>280</v>
      </c>
      <c r="AQ23" s="31">
        <f ca="1"/>
        <v>-61048.541888633205</v>
      </c>
      <c r="AR23" s="31">
        <v>-2.16</v>
      </c>
      <c r="AT23" s="31">
        <f ca="1"/>
        <v>-31207.562271988409</v>
      </c>
      <c r="AU23" s="31">
        <v>7.92</v>
      </c>
    </row>
    <row r="24" spans="9:47" ht="20.25" customHeight="1">
      <c r="Q24" s="33" t="s">
        <v>279</v>
      </c>
      <c r="R24" s="31" t="b">
        <f ca="1">_xlfn.LET(
    _xlpm._C_f_c, R9,
    _xlpm._C_f_min, R17,
    _xlpm._C_f_max, R21,
    AND(_xlpm._C_f_min &lt;= _xlpm._C_f_c, _xlpm._C_f_c &lt;= _xlpm._C_f_max)
)</f>
        <v>1</v>
      </c>
      <c r="Z24" s="33" t="s">
        <v>278</v>
      </c>
      <c r="AA24" s="31">
        <f>_xlfn.LET(
    _xlpm._N_r, K21,
    _xlpm._R_N_min, K22,
    _xlpm._N_r * _xlpm._R_N_min
)</f>
        <v>6</v>
      </c>
      <c r="AB24" s="31" t="s">
        <v>104</v>
      </c>
      <c r="AQ24" s="31">
        <f ca="1"/>
        <v>-57423.07440879858</v>
      </c>
      <c r="AR24" s="31">
        <v>-1.6799999999999997</v>
      </c>
      <c r="AT24" s="31">
        <f ca="1"/>
        <v>-31499.320141183824</v>
      </c>
      <c r="AU24" s="31">
        <v>8.16</v>
      </c>
    </row>
    <row r="25" spans="9:47" ht="20.25" customHeight="1">
      <c r="I25" s="31" t="s">
        <v>284</v>
      </c>
      <c r="Z25" s="33" t="s">
        <v>277</v>
      </c>
      <c r="AA25" s="31">
        <f>_xlfn.LET(
    _xlpm._N_r, K21,
    _xlpm._R_N_max, K23,
    _xlpm._N_r * _xlpm._R_N_max
)</f>
        <v>30</v>
      </c>
      <c r="AB25" s="31" t="s">
        <v>104</v>
      </c>
      <c r="AQ25" s="31">
        <f ca="1"/>
        <v>-54030.535827362364</v>
      </c>
      <c r="AR25" s="31">
        <v>-1.1999999999999993</v>
      </c>
      <c r="AT25" s="31">
        <f ca="1"/>
        <v>-31822.651154958181</v>
      </c>
      <c r="AU25" s="31">
        <v>8.4</v>
      </c>
    </row>
    <row r="26" spans="9:47" ht="20.25" customHeight="1">
      <c r="J26" s="33" t="s">
        <v>235</v>
      </c>
      <c r="K26" s="32">
        <f>'C1'!E7</f>
        <v>-6.5039412408014396E-3</v>
      </c>
      <c r="Z26" s="33"/>
      <c r="AQ26" s="31">
        <f ca="1"/>
        <v>-50871.726263966775</v>
      </c>
      <c r="AR26" s="31">
        <v>-0.72000000000000064</v>
      </c>
      <c r="AT26" s="31">
        <f ca="1"/>
        <v>-32176.096657545364</v>
      </c>
      <c r="AU26" s="31">
        <v>8.64</v>
      </c>
    </row>
    <row r="27" spans="9:47" ht="20.25" customHeight="1">
      <c r="J27" s="33" t="s">
        <v>227</v>
      </c>
      <c r="K27" s="32">
        <f>'C1'!E8</f>
        <v>7.3953802908153773E-2</v>
      </c>
      <c r="Y27" s="31" t="s">
        <v>276</v>
      </c>
      <c r="AQ27" s="31">
        <f ca="1"/>
        <v>-47946.830067104791</v>
      </c>
      <c r="AR27" s="31">
        <v>-0.24000000000000021</v>
      </c>
      <c r="AT27" s="31">
        <f ca="1"/>
        <v>-32558.159507482451</v>
      </c>
      <c r="AU27" s="31">
        <v>8.879999999999999</v>
      </c>
    </row>
    <row r="28" spans="9:47" ht="20.25" customHeight="1">
      <c r="J28" s="33" t="s">
        <v>216</v>
      </c>
      <c r="K28" s="32">
        <f>'C1'!E9</f>
        <v>-0.35664959080564745</v>
      </c>
      <c r="Z28" s="33" t="s">
        <v>337</v>
      </c>
      <c r="AA28" s="31" cm="1">
        <f t="array" aca="1" ref="AA28" ca="1">_xlfn.LET(
    _xlpm._coefficient, TRANSPOSE(AA17:AA21),
    _xlpm._N, AA24,
    SUM(_xlpm._coefficient * _xlfn.HSTACK(_xlpm._N ^ {4,3,2,1}, 1))
)</f>
        <v>-30172.470935248817</v>
      </c>
      <c r="AQ28" s="31">
        <f ca="1"/>
        <v>-45255.415814120235</v>
      </c>
      <c r="AR28" s="31">
        <v>0.24000000000000021</v>
      </c>
      <c r="AT28" s="31">
        <f ca="1"/>
        <v>-32967.304077609668</v>
      </c>
      <c r="AU28" s="31">
        <v>9.120000000000001</v>
      </c>
    </row>
    <row r="29" spans="9:47" ht="20.25" customHeight="1">
      <c r="J29" s="33" t="s">
        <v>207</v>
      </c>
      <c r="K29" s="32">
        <f>'C1'!E10</f>
        <v>0.18566633997122894</v>
      </c>
      <c r="Z29" s="33" t="s">
        <v>338</v>
      </c>
      <c r="AA29" s="31" cm="1">
        <f t="array" aca="1" ref="AA29" ca="1">_xlfn.LET(
    _xlpm._coefficient, TRANSPOSE(AA17:AA21),
    _xlpm._N, AA25,
    SUM(_xlpm._coefficient * _xlfn.HSTACK(_xlpm._N ^ {4,3,2,1}, 1))
)</f>
        <v>100498.52387364744</v>
      </c>
      <c r="AQ29" s="31">
        <f ca="1"/>
        <v>-42796.436311207741</v>
      </c>
      <c r="AR29" s="31">
        <v>0.71999999999999886</v>
      </c>
      <c r="AT29" s="31">
        <f ca="1"/>
        <v>-33401.956255070414</v>
      </c>
      <c r="AU29" s="31">
        <v>9.36</v>
      </c>
    </row>
    <row r="30" spans="9:47" ht="20.25" customHeight="1">
      <c r="J30" s="33" t="s">
        <v>203</v>
      </c>
      <c r="K30" s="32">
        <f>'C1'!E11</f>
        <v>5.3703258323470777</v>
      </c>
      <c r="Z30" s="33" t="s">
        <v>275</v>
      </c>
      <c r="AA30" s="31" t="b">
        <f ca="1">_xlfn.LET(
    _xlpm._f_N_min, AA28,
    _xlpm._f_N_max, AA29,
    _xlpm._f_N_min * _xlpm._f_N_max &gt;= 0
)</f>
        <v>0</v>
      </c>
      <c r="AQ30" s="31">
        <f ca="1"/>
        <v>-40568.228593412736</v>
      </c>
      <c r="AR30" s="31">
        <v>1.1999999999999993</v>
      </c>
      <c r="AT30" s="31">
        <f ca="1"/>
        <v>-33860.503441311303</v>
      </c>
      <c r="AU30" s="31">
        <v>9.6</v>
      </c>
    </row>
    <row r="31" spans="9:47" ht="20.25" customHeight="1">
      <c r="Z31" s="33" t="s">
        <v>273</v>
      </c>
      <c r="AA31" s="31" t="b">
        <f ca="1">_xlfn.LET(
    _xlpm._f_N_min, AA28,
    _xlpm._f_N_max, AA29,
    _xlpm._epsilon, K37,
    _xlpm._f_N_min_is_one_of_the_roots, ABS(_xlpm._f_N_min) &lt;= _xlpm._epsilon,
    _xlpm._f_N_max_is_one_of_the_roots, ABS(_xlpm._f_N_max) &lt;= _xlpm._epsilon,
    _xlfn.XOR(
        _xlpm._f_N_min_is_one_of_the_roots,
        _xlpm._f_N_max_is_one_of_the_roots
    )
)</f>
        <v>0</v>
      </c>
      <c r="AQ31" s="31">
        <f ca="1"/>
        <v>-38568.513924631457</v>
      </c>
      <c r="AR31" s="31">
        <v>1.6799999999999997</v>
      </c>
      <c r="AT31" s="31">
        <f ca="1"/>
        <v>-34341.294552082079</v>
      </c>
      <c r="AU31" s="31">
        <v>9.84</v>
      </c>
    </row>
    <row r="32" spans="9:47" ht="20.25" customHeight="1">
      <c r="J32" s="33" t="s">
        <v>176</v>
      </c>
      <c r="K32" s="32" t="b">
        <f>'C1'!E18</f>
        <v>1</v>
      </c>
      <c r="Z32" s="33" t="s">
        <v>270</v>
      </c>
      <c r="AA32" s="31" t="e">
        <f ca="1">_xlfn.LET(
    _xlpm._f_N_min, AA28,
    _xlpm._f_N_max, AA29,
    _xlpm._epsilon, K37,
    _xlpm._f_N_min_is_one_of_the_roots, ABS(_xlpm._f_N_min) &lt;= _xlpm._epsilon,
    _xlpm._f_N_max_is_one_of_the_roots, ABS(_xlpm._f_N_max) &lt;= _xlpm._epsilon,
    IF(
        _xlfn.XOR(
            _xlpm._f_N_min_is_one_of_the_roots,
            _xlpm._f_N_max_is_one_of_the_roots
        ),
        IF(
            _xlpm._f_N_min_is_one_of_the_roots,
            _xlpm._f_N_min,
            IF(_xlpm._f_N_max_is_one_of_the_roots, _xlpm._f_N_max, NA())
        ),
        NA()
    )
)</f>
        <v>#N/A</v>
      </c>
      <c r="AQ32" s="31">
        <f ca="1"/>
        <v>-36794.397797610975</v>
      </c>
      <c r="AR32" s="31">
        <v>2.16</v>
      </c>
      <c r="AT32" s="31">
        <f ca="1"/>
        <v>-34842.640017435682</v>
      </c>
      <c r="AU32" s="31">
        <v>10.08</v>
      </c>
    </row>
    <row r="33" spans="9:47" ht="20.25" customHeight="1">
      <c r="J33" s="33" t="s">
        <v>172</v>
      </c>
      <c r="K33" s="32">
        <f>'C1'!E19</f>
        <v>0.28465364146978933</v>
      </c>
      <c r="L33" s="31" t="s">
        <v>50</v>
      </c>
      <c r="AQ33" s="31">
        <f ca="1"/>
        <v>-35242.369933949136</v>
      </c>
      <c r="AR33" s="31">
        <v>2.6400000000000006</v>
      </c>
      <c r="AT33" s="31">
        <f ca="1"/>
        <v>-35362.81178172824</v>
      </c>
      <c r="AU33" s="31">
        <v>10.32</v>
      </c>
    </row>
    <row r="34" spans="9:47" ht="20.25" customHeight="1">
      <c r="Y34" s="31" t="s">
        <v>268</v>
      </c>
      <c r="AQ34" s="31">
        <f ca="1"/>
        <v>-33908.304284094622</v>
      </c>
      <c r="AR34" s="31">
        <v>3.1199999999999992</v>
      </c>
      <c r="AT34" s="31">
        <f ca="1"/>
        <v>-35900.04330361903</v>
      </c>
      <c r="AU34" s="31">
        <v>10.559999999999999</v>
      </c>
    </row>
    <row r="35" spans="9:47" ht="20.25" customHeight="1">
      <c r="I35" s="31" t="s">
        <v>274</v>
      </c>
      <c r="Z35" s="33" t="s">
        <v>267</v>
      </c>
      <c r="AA35" s="31" t="b">
        <f ca="1">ISNUMBER(AA36)</f>
        <v>1</v>
      </c>
      <c r="AQ35" s="31">
        <f ca="1"/>
        <v>-32787.459027346908</v>
      </c>
      <c r="AR35" s="31">
        <v>3.5999999999999996</v>
      </c>
      <c r="AT35" s="31">
        <f ca="1"/>
        <v>-36452.529556070534</v>
      </c>
      <c r="AU35" s="31">
        <v>10.8</v>
      </c>
    </row>
    <row r="36" spans="9:47" ht="20.25" customHeight="1">
      <c r="J36" s="33" t="s">
        <v>272</v>
      </c>
      <c r="K36" s="32">
        <f>10^3</f>
        <v>1000</v>
      </c>
      <c r="L36" s="31" t="s">
        <v>271</v>
      </c>
      <c r="Z36" s="33" t="s">
        <v>266</v>
      </c>
      <c r="AA36" s="31" cm="1">
        <f t="array" aca="1" ref="AA36" ca="1">_xlfn.LET(
    _xlpm._a4, AA17,
    _xlpm._a3, AA18,
    _xlpm._a2, AA19,
    _xlpm._a1, AA20,
    _xlpm._a0, AA21,
    _xlpm._N_min, AA24,
    _xlpm._N_max, AA25,
    _xlpm._n_iteration_max, K36,
    _xlpm._epsilon, K37,
    _bisection.quartic_equation(
        _xlpm._a4,
        _xlpm._a3,
        _xlpm._a2,
        _xlpm._a1,
        _xlpm._a0,
        _xlpm._N_min,
        _xlpm._N_max,
        _xlpm._n_iteration_max,
        _xlpm._epsilon
    )
)</f>
        <v>25.630578517913818</v>
      </c>
      <c r="AB36" s="31" t="s">
        <v>104</v>
      </c>
      <c r="AQ36" s="31">
        <f ca="1"/>
        <v>-31874.476571856281</v>
      </c>
      <c r="AR36" s="31">
        <v>4.0799999999999983</v>
      </c>
      <c r="AT36" s="31">
        <f ca="1"/>
        <v>-37018.42702634837</v>
      </c>
      <c r="AU36" s="31">
        <v>11.04</v>
      </c>
    </row>
    <row r="37" spans="9:47" ht="20.25" customHeight="1">
      <c r="J37" s="33" t="s">
        <v>269</v>
      </c>
      <c r="K37" s="32">
        <f>10^-3</f>
        <v>1E-3</v>
      </c>
      <c r="AQ37" s="31">
        <f ca="1"/>
        <v>-31163.383554623848</v>
      </c>
      <c r="AR37" s="31">
        <v>4.5599999999999987</v>
      </c>
      <c r="AT37" s="31">
        <f ca="1"/>
        <v>-37595.853716021375</v>
      </c>
      <c r="AU37" s="31">
        <v>11.28</v>
      </c>
    </row>
    <row r="38" spans="9:47" ht="20.25" customHeight="1">
      <c r="AQ38" s="31">
        <f ca="1"/>
        <v>-30647.590841501507</v>
      </c>
      <c r="AR38" s="31">
        <v>5.0399999999999991</v>
      </c>
      <c r="AT38" s="31">
        <f ca="1"/>
        <v>-38182.889140961517</v>
      </c>
      <c r="AU38" s="31">
        <v>11.52</v>
      </c>
    </row>
    <row r="39" spans="9:47" ht="20.25" customHeight="1">
      <c r="AQ39" s="31">
        <f ca="1"/>
        <v>-30319.893527191991</v>
      </c>
      <c r="AR39" s="31">
        <v>5.52</v>
      </c>
      <c r="AT39" s="31">
        <f ca="1"/>
        <v>-38777.574331343996</v>
      </c>
      <c r="AU39" s="31">
        <v>11.76</v>
      </c>
    </row>
    <row r="40" spans="9:47" ht="20.25" customHeight="1">
      <c r="AQ40" s="31">
        <f ca="1"/>
        <v>-30172.470935248817</v>
      </c>
      <c r="AR40" s="31">
        <v>6</v>
      </c>
      <c r="AT40" s="31">
        <f ca="1"/>
        <v>-39377.91183164715</v>
      </c>
      <c r="AU40" s="31">
        <v>12</v>
      </c>
    </row>
    <row r="41" spans="9:47" ht="20.25" customHeight="1">
      <c r="AQ41" s="31">
        <f ca="1"/>
        <v>-30196.886618076318</v>
      </c>
      <c r="AR41" s="31">
        <v>6.48</v>
      </c>
      <c r="AT41" s="31">
        <f ca="1"/>
        <v>-39981.865700652481</v>
      </c>
      <c r="AU41" s="31">
        <v>12.24</v>
      </c>
    </row>
    <row r="42" spans="9:47" ht="20.25" customHeight="1">
      <c r="AQ42" s="31">
        <f ca="1"/>
        <v>-30384.088356929649</v>
      </c>
      <c r="AR42" s="31">
        <v>6.9600000000000009</v>
      </c>
      <c r="AT42" s="31">
        <f ca="1"/>
        <v>-40587.36151144468</v>
      </c>
      <c r="AU42" s="31">
        <v>12.48</v>
      </c>
    </row>
    <row r="43" spans="9:47" ht="20.25" customHeight="1">
      <c r="AQ43" s="31">
        <f ca="1"/>
        <v>-30724.408161914755</v>
      </c>
      <c r="AR43" s="31">
        <v>7.4399999999999977</v>
      </c>
      <c r="AT43" s="31">
        <f ca="1"/>
        <v>-41192.28635141164</v>
      </c>
      <c r="AU43" s="31">
        <v>12.719999999999999</v>
      </c>
    </row>
    <row r="44" spans="9:47" ht="20.25" customHeight="1">
      <c r="AQ44" s="31">
        <f ca="1"/>
        <v>-31207.562271988412</v>
      </c>
      <c r="AR44" s="31">
        <v>7.9200000000000017</v>
      </c>
      <c r="AT44" s="31">
        <f ca="1"/>
        <v>-41794.488822244406</v>
      </c>
      <c r="AU44" s="31">
        <v>12.96</v>
      </c>
    </row>
    <row r="45" spans="9:47" ht="20.25" customHeight="1">
      <c r="AQ45" s="31">
        <f ca="1"/>
        <v>-31822.651154958177</v>
      </c>
      <c r="AR45" s="31">
        <v>8.3999999999999986</v>
      </c>
      <c r="AT45" s="31">
        <f ca="1"/>
        <v>-42391.779039937181</v>
      </c>
      <c r="AU45" s="31">
        <v>13.2</v>
      </c>
    </row>
    <row r="46" spans="9:47" ht="20.25" customHeight="1">
      <c r="AQ46" s="31">
        <f ca="1"/>
        <v>-32558.159507482451</v>
      </c>
      <c r="AR46" s="31">
        <v>8.879999999999999</v>
      </c>
      <c r="AT46" s="31">
        <f ca="1"/>
        <v>-42981.928634787364</v>
      </c>
      <c r="AU46" s="31">
        <v>13.44</v>
      </c>
    </row>
    <row r="47" spans="9:47" ht="20.25" customHeight="1">
      <c r="AQ47" s="31">
        <f ca="1"/>
        <v>-33401.956255070414</v>
      </c>
      <c r="AR47" s="31">
        <v>9.36</v>
      </c>
      <c r="AT47" s="31">
        <f ca="1"/>
        <v>-43562.670751395541</v>
      </c>
      <c r="AU47" s="31">
        <v>13.68</v>
      </c>
    </row>
    <row r="48" spans="9:47" ht="20.25" customHeight="1">
      <c r="AQ48" s="31">
        <f ca="1"/>
        <v>-34341.294552082079</v>
      </c>
      <c r="AR48" s="31">
        <v>9.84</v>
      </c>
      <c r="AT48" s="31">
        <f ca="1"/>
        <v>-44131.700048665451</v>
      </c>
      <c r="AU48" s="31">
        <v>13.92</v>
      </c>
    </row>
    <row r="49" spans="43:47" ht="20.25" customHeight="1">
      <c r="AQ49" s="31">
        <f ca="1"/>
        <v>-35362.81178172824</v>
      </c>
      <c r="AR49" s="31">
        <v>10.32</v>
      </c>
      <c r="AT49" s="31">
        <f ca="1"/>
        <v>-44686.672699804047</v>
      </c>
      <c r="AU49" s="31">
        <v>14.16</v>
      </c>
    </row>
    <row r="50" spans="43:47" ht="20.25" customHeight="1">
      <c r="AQ50" s="31">
        <f ca="1"/>
        <v>-36452.529556070534</v>
      </c>
      <c r="AR50" s="31">
        <v>10.8</v>
      </c>
      <c r="AT50" s="31">
        <f ca="1"/>
        <v>-45225.206392321365</v>
      </c>
      <c r="AU50" s="31">
        <v>14.4</v>
      </c>
    </row>
    <row r="51" spans="43:47" ht="20.25" customHeight="1">
      <c r="AQ51" s="31">
        <f ca="1"/>
        <v>-37595.853716021375</v>
      </c>
      <c r="AR51" s="31">
        <v>11.280000000000001</v>
      </c>
      <c r="AT51" s="31">
        <f ca="1"/>
        <v>-45744.88032803074</v>
      </c>
      <c r="AU51" s="31">
        <v>14.64</v>
      </c>
    </row>
    <row r="52" spans="43:47" ht="20.25" customHeight="1">
      <c r="AQ52" s="31">
        <f ca="1"/>
        <v>-38777.574331344003</v>
      </c>
      <c r="AR52" s="31">
        <v>11.759999999999998</v>
      </c>
      <c r="AT52" s="31">
        <f ca="1"/>
        <v>-46243.235223048607</v>
      </c>
      <c r="AU52" s="31">
        <v>14.879999999999999</v>
      </c>
    </row>
    <row r="53" spans="43:47" ht="20.25" customHeight="1">
      <c r="AQ53" s="31">
        <f ca="1"/>
        <v>-39981.865700652488</v>
      </c>
      <c r="AR53" s="31">
        <v>12.239999999999998</v>
      </c>
      <c r="AT53" s="31">
        <f ca="1"/>
        <v>-46717.773307794581</v>
      </c>
      <c r="AU53" s="31">
        <v>15.12</v>
      </c>
    </row>
    <row r="54" spans="43:47" ht="20.25" customHeight="1">
      <c r="AQ54" s="31">
        <f ca="1"/>
        <v>-41192.28635141164</v>
      </c>
      <c r="AR54" s="31">
        <v>12.719999999999999</v>
      </c>
      <c r="AT54" s="31">
        <f ca="1"/>
        <v>-47165.958326991451</v>
      </c>
      <c r="AU54" s="31">
        <v>15.36</v>
      </c>
    </row>
    <row r="55" spans="43:47" ht="20.25" customHeight="1">
      <c r="AQ55" s="31">
        <f ca="1"/>
        <v>-42391.779039937181</v>
      </c>
      <c r="AR55" s="31">
        <v>13.2</v>
      </c>
      <c r="AT55" s="31">
        <f ca="1"/>
        <v>-47585.215539665231</v>
      </c>
      <c r="AU55" s="31">
        <v>15.6</v>
      </c>
    </row>
    <row r="56" spans="43:47" ht="20.25" customHeight="1">
      <c r="AQ56" s="31">
        <f ca="1"/>
        <v>-43562.670751395541</v>
      </c>
      <c r="AR56" s="31">
        <v>13.68</v>
      </c>
      <c r="AT56" s="31">
        <f ca="1"/>
        <v>-47972.931719145061</v>
      </c>
      <c r="AU56" s="31">
        <v>15.84</v>
      </c>
    </row>
    <row r="57" spans="43:47" ht="20.25" customHeight="1">
      <c r="AQ57" s="31">
        <f ca="1"/>
        <v>-44686.672699804047</v>
      </c>
      <c r="AR57" s="31">
        <v>14.16</v>
      </c>
      <c r="AT57" s="31">
        <f ca="1"/>
        <v>-48326.455153063253</v>
      </c>
      <c r="AU57" s="31">
        <v>16.079999999999998</v>
      </c>
    </row>
    <row r="58" spans="43:47" ht="20.25" customHeight="1">
      <c r="AQ58" s="31">
        <f ca="1"/>
        <v>-45744.88032803074</v>
      </c>
      <c r="AR58" s="31">
        <v>14.64</v>
      </c>
      <c r="AT58" s="31">
        <f ca="1"/>
        <v>-48643.095643355329</v>
      </c>
      <c r="AU58" s="31">
        <v>16.32</v>
      </c>
    </row>
    <row r="59" spans="43:47" ht="20.25" customHeight="1">
      <c r="AQ59" s="31">
        <f ca="1"/>
        <v>-46717.773307794581</v>
      </c>
      <c r="AR59" s="31">
        <v>15.119999999999997</v>
      </c>
      <c r="AT59" s="31">
        <f ca="1"/>
        <v>-48920.124506259956</v>
      </c>
      <c r="AU59" s="31">
        <v>16.559999999999999</v>
      </c>
    </row>
    <row r="60" spans="43:47" ht="20.25" customHeight="1">
      <c r="AQ60" s="31">
        <f ca="1"/>
        <v>-47585.215539665231</v>
      </c>
      <c r="AR60" s="31">
        <v>15.599999999999998</v>
      </c>
      <c r="AT60" s="31">
        <f ca="1"/>
        <v>-49154.77457231898</v>
      </c>
      <c r="AU60" s="31">
        <v>16.799999999999997</v>
      </c>
    </row>
    <row r="61" spans="43:47" ht="20.25" customHeight="1">
      <c r="AQ61" s="31">
        <f ca="1"/>
        <v>-48326.455153063253</v>
      </c>
      <c r="AR61" s="31">
        <v>16.079999999999998</v>
      </c>
      <c r="AT61" s="31">
        <f ca="1"/>
        <v>-49344.240186377479</v>
      </c>
      <c r="AU61" s="31">
        <v>17.04</v>
      </c>
    </row>
    <row r="62" spans="43:47" ht="20.25" customHeight="1">
      <c r="AQ62" s="31">
        <f ca="1"/>
        <v>-48920.124506259956</v>
      </c>
      <c r="AR62" s="31">
        <v>16.559999999999999</v>
      </c>
      <c r="AT62" s="31">
        <f ca="1"/>
        <v>-49485.677207583612</v>
      </c>
      <c r="AU62" s="31">
        <v>17.28</v>
      </c>
    </row>
    <row r="63" spans="43:47" ht="20.25" customHeight="1">
      <c r="AQ63" s="31">
        <f ca="1"/>
        <v>-49344.240186377479</v>
      </c>
      <c r="AR63" s="31">
        <v>17.04</v>
      </c>
      <c r="AT63" s="31">
        <f ca="1"/>
        <v>-49576.203009388781</v>
      </c>
      <c r="AU63" s="31">
        <v>17.52</v>
      </c>
    </row>
    <row r="64" spans="43:47" ht="20.25" customHeight="1">
      <c r="AQ64" s="31">
        <f ca="1"/>
        <v>-49576.203009388781</v>
      </c>
      <c r="AR64" s="31">
        <v>17.52</v>
      </c>
      <c r="AT64" s="31">
        <f ca="1"/>
        <v>-49612.896479547555</v>
      </c>
      <c r="AU64" s="31">
        <v>17.759999999999998</v>
      </c>
    </row>
    <row r="65" spans="43:47" ht="20.25" customHeight="1">
      <c r="AQ65" s="31">
        <f ca="1"/>
        <v>-49592.798020117618</v>
      </c>
      <c r="AR65" s="31">
        <v>18</v>
      </c>
      <c r="AT65" s="31">
        <f ca="1"/>
        <v>-49592.798020117618</v>
      </c>
      <c r="AU65" s="31">
        <v>18</v>
      </c>
    </row>
    <row r="66" spans="43:47" ht="20.25" customHeight="1">
      <c r="AQ66" s="31">
        <f ca="1"/>
        <v>-49370.194492238566</v>
      </c>
      <c r="AR66" s="31">
        <v>18.48</v>
      </c>
      <c r="AT66" s="31">
        <f ca="1"/>
        <v>-49512.909547459938</v>
      </c>
      <c r="AU66" s="31">
        <v>18.240000000000002</v>
      </c>
    </row>
    <row r="67" spans="43:47" ht="20.25" customHeight="1">
      <c r="AQ67" s="31">
        <f ca="1"/>
        <v>-48883.945928276989</v>
      </c>
      <c r="AR67" s="31">
        <v>18.96</v>
      </c>
      <c r="AT67" s="31">
        <f ca="1"/>
        <v>-49370.194492238566</v>
      </c>
      <c r="AU67" s="31">
        <v>18.48</v>
      </c>
    </row>
    <row r="68" spans="43:47" ht="20.25" customHeight="1">
      <c r="AQ68" s="31">
        <f ca="1"/>
        <v>-48108.990059609096</v>
      </c>
      <c r="AR68" s="31">
        <v>19.439999999999998</v>
      </c>
      <c r="AT68" s="31">
        <f ca="1"/>
        <v>-49161.577799420767</v>
      </c>
      <c r="AU68" s="31">
        <v>18.72</v>
      </c>
    </row>
    <row r="69" spans="43:47" ht="20.25" customHeight="1">
      <c r="AQ69" s="31">
        <f ca="1"/>
        <v>-47019.648846461867</v>
      </c>
      <c r="AR69" s="31">
        <v>19.919999999999998</v>
      </c>
      <c r="AT69" s="31">
        <f ca="1"/>
        <v>-48883.945928276989</v>
      </c>
      <c r="AU69" s="31">
        <v>18.96</v>
      </c>
    </row>
    <row r="70" spans="43:47" ht="20.25" customHeight="1">
      <c r="AQ70" s="31">
        <f ca="1"/>
        <v>-45589.628477913073</v>
      </c>
      <c r="AR70" s="31">
        <v>20.399999999999999</v>
      </c>
      <c r="AT70" s="31">
        <f ca="1"/>
        <v>-48534.146852380836</v>
      </c>
      <c r="AU70" s="31">
        <v>19.2</v>
      </c>
    </row>
    <row r="71" spans="43:47" ht="20.25" customHeight="1">
      <c r="AQ71" s="31">
        <f ca="1"/>
        <v>-43792.019371891402</v>
      </c>
      <c r="AR71" s="31">
        <v>20.879999999999995</v>
      </c>
      <c r="AT71" s="31">
        <f ca="1"/>
        <v>-48108.990059609096</v>
      </c>
      <c r="AU71" s="31">
        <v>19.439999999999998</v>
      </c>
    </row>
    <row r="72" spans="43:47" ht="20.25" customHeight="1">
      <c r="AQ72" s="31">
        <f ca="1"/>
        <v>-41599.296175176183</v>
      </c>
      <c r="AR72" s="31">
        <v>21.36</v>
      </c>
      <c r="AT72" s="31">
        <f ca="1"/>
        <v>-47605.246552141711</v>
      </c>
      <c r="AU72" s="31">
        <v>19.68</v>
      </c>
    </row>
    <row r="73" spans="43:47" ht="20.25" customHeight="1">
      <c r="AQ73" s="31">
        <f ca="1"/>
        <v>-38983.31776339771</v>
      </c>
      <c r="AR73" s="31">
        <v>21.840000000000003</v>
      </c>
      <c r="AT73" s="31">
        <f ca="1"/>
        <v>-47019.648846461838</v>
      </c>
      <c r="AU73" s="31">
        <v>19.920000000000002</v>
      </c>
    </row>
    <row r="74" spans="43:47" ht="20.25" customHeight="1">
      <c r="AQ74" s="31">
        <f ca="1"/>
        <v>-35915.327241037092</v>
      </c>
      <c r="AR74" s="31">
        <v>22.32</v>
      </c>
      <c r="AT74" s="31">
        <f ca="1"/>
        <v>-46348.890973355803</v>
      </c>
      <c r="AU74" s="31">
        <v>20.16</v>
      </c>
    </row>
    <row r="75" spans="43:47" ht="20.25" customHeight="1">
      <c r="AQ75" s="31">
        <f ca="1"/>
        <v>-32365.951941426079</v>
      </c>
      <c r="AR75" s="31">
        <v>22.799999999999997</v>
      </c>
      <c r="AT75" s="31">
        <f ca="1"/>
        <v>-45589.628477913073</v>
      </c>
      <c r="AU75" s="31">
        <v>20.399999999999999</v>
      </c>
    </row>
    <row r="76" spans="43:47" ht="20.25" customHeight="1">
      <c r="AQ76" s="31">
        <f ca="1"/>
        <v>-28305.203426747357</v>
      </c>
      <c r="AR76" s="31">
        <v>23.28</v>
      </c>
      <c r="AT76" s="31">
        <f ca="1"/>
        <v>-44738.478419526313</v>
      </c>
      <c r="AU76" s="31">
        <v>20.64</v>
      </c>
    </row>
    <row r="77" spans="43:47" ht="20.25" customHeight="1">
      <c r="AQ77" s="31">
        <f ca="1"/>
        <v>-23702.477488034383</v>
      </c>
      <c r="AR77" s="31">
        <v>23.759999999999998</v>
      </c>
      <c r="AT77" s="31">
        <f ca="1"/>
        <v>-43792.019371891387</v>
      </c>
      <c r="AU77" s="31">
        <v>20.88</v>
      </c>
    </row>
    <row r="78" spans="43:47" ht="20.25" customHeight="1">
      <c r="AQ78" s="31">
        <f ca="1"/>
        <v>-18526.554145171518</v>
      </c>
      <c r="AR78" s="31">
        <v>24.239999999999995</v>
      </c>
      <c r="AT78" s="31">
        <f ca="1"/>
        <v>-42746.7914230073</v>
      </c>
      <c r="AU78" s="31">
        <v>21.119999999999997</v>
      </c>
    </row>
    <row r="79" spans="43:47" ht="20.25" customHeight="1">
      <c r="AQ79" s="31">
        <f ca="1"/>
        <v>-12745.597646893708</v>
      </c>
      <c r="AR79" s="31">
        <v>24.72</v>
      </c>
      <c r="AT79" s="31">
        <f ca="1"/>
        <v>-41599.296175176183</v>
      </c>
      <c r="AU79" s="31">
        <v>21.36</v>
      </c>
    </row>
    <row r="80" spans="43:47" ht="20.25" customHeight="1">
      <c r="AQ80" s="31">
        <f ca="1"/>
        <v>-6327.1564707869038</v>
      </c>
      <c r="AR80" s="31">
        <v>25.200000000000003</v>
      </c>
      <c r="AT80" s="31">
        <f ca="1"/>
        <v>-40345.996745003496</v>
      </c>
      <c r="AU80" s="31">
        <v>21.6</v>
      </c>
    </row>
    <row r="81" spans="43:47" ht="20.25" customHeight="1">
      <c r="AQ81" s="31">
        <f ca="1"/>
        <v>761.83667671208241</v>
      </c>
      <c r="AR81" s="31">
        <v>25.68</v>
      </c>
      <c r="AT81" s="31">
        <f ca="1"/>
        <v>-38983.317763397783</v>
      </c>
      <c r="AU81" s="31">
        <v>21.84</v>
      </c>
    </row>
    <row r="82" spans="43:47" ht="20.25" customHeight="1">
      <c r="AQ82" s="31">
        <f ca="1"/>
        <v>8555.0648603157533</v>
      </c>
      <c r="AR82" s="31">
        <v>26.159999999999997</v>
      </c>
      <c r="AT82" s="31">
        <f ca="1"/>
        <v>-37507.645375570668</v>
      </c>
      <c r="AU82" s="31">
        <v>22.08</v>
      </c>
    </row>
    <row r="83" spans="43:47" ht="20.25" customHeight="1">
      <c r="AQ83" s="31">
        <f ca="1"/>
        <v>17086.826915885984</v>
      </c>
      <c r="AR83" s="31">
        <v>26.64</v>
      </c>
      <c r="AT83" s="31">
        <f ca="1"/>
        <v>-35915.327241037092</v>
      </c>
      <c r="AU83" s="31">
        <v>22.32</v>
      </c>
    </row>
    <row r="84" spans="43:47" ht="20.25" customHeight="1">
      <c r="AQ84" s="31">
        <f ca="1"/>
        <v>26392.037450433352</v>
      </c>
      <c r="AR84" s="31">
        <v>27.119999999999997</v>
      </c>
      <c r="AT84" s="31">
        <f ca="1"/>
        <v>-34202.672533615165</v>
      </c>
      <c r="AU84" s="31">
        <v>22.56</v>
      </c>
    </row>
    <row r="85" spans="43:47" ht="20.25" customHeight="1">
      <c r="AQ85" s="31">
        <f ca="1"/>
        <v>36506.226842118245</v>
      </c>
      <c r="AR85" s="31">
        <v>27.6</v>
      </c>
      <c r="AT85" s="31">
        <f ca="1"/>
        <v>-32365.95194142605</v>
      </c>
      <c r="AU85" s="31">
        <v>22.8</v>
      </c>
    </row>
    <row r="86" spans="43:47" ht="20.25" customHeight="1">
      <c r="AQ86" s="31">
        <f ca="1"/>
        <v>47465.54124024952</v>
      </c>
      <c r="AR86" s="31">
        <v>28.08</v>
      </c>
      <c r="AT86" s="31">
        <f ca="1"/>
        <v>-30401.397666894271</v>
      </c>
      <c r="AU86" s="31">
        <v>23.04</v>
      </c>
    </row>
    <row r="87" spans="43:47" ht="20.25" customHeight="1">
      <c r="AQ87" s="31">
        <f ca="1"/>
        <v>59306.742565286018</v>
      </c>
      <c r="AR87" s="31">
        <v>28.560000000000002</v>
      </c>
      <c r="AT87" s="31">
        <f ca="1"/>
        <v>-28305.203426747357</v>
      </c>
      <c r="AU87" s="31">
        <v>23.28</v>
      </c>
    </row>
    <row r="88" spans="43:47" ht="20.25" customHeight="1">
      <c r="AQ88" s="31">
        <f ca="1"/>
        <v>72067.208508835029</v>
      </c>
      <c r="AR88" s="31">
        <v>29.04</v>
      </c>
      <c r="AT88" s="31">
        <f ca="1"/>
        <v>-26073.524452016056</v>
      </c>
      <c r="AU88" s="31">
        <v>23.52</v>
      </c>
    </row>
    <row r="89" spans="43:47" ht="20.25" customHeight="1">
      <c r="AQ89" s="31">
        <f ca="1"/>
        <v>85784.932533653366</v>
      </c>
      <c r="AR89" s="31">
        <v>29.519999999999996</v>
      </c>
      <c r="AT89" s="31">
        <f ca="1"/>
        <v>-23702.477488034383</v>
      </c>
      <c r="AU89" s="31">
        <v>23.759999999999998</v>
      </c>
    </row>
    <row r="90" spans="43:47" ht="20.25" customHeight="1">
      <c r="AQ90" s="31">
        <f ca="1"/>
        <v>100498.52387364744</v>
      </c>
      <c r="AR90" s="31">
        <v>30</v>
      </c>
      <c r="AT90" s="31">
        <f ca="1"/>
        <v>-21188.140794439423</v>
      </c>
      <c r="AU90" s="31">
        <v>24</v>
      </c>
    </row>
    <row r="91" spans="43:47" ht="20.25" customHeight="1">
      <c r="AQ91" s="31">
        <f ca="1"/>
        <v>116247.20753387199</v>
      </c>
      <c r="AR91" s="31">
        <v>30.479999999999997</v>
      </c>
      <c r="AT91" s="31">
        <f ca="1"/>
        <v>-18526.554145171518</v>
      </c>
      <c r="AU91" s="31">
        <v>24.24</v>
      </c>
    </row>
    <row r="92" spans="43:47" ht="20.25" customHeight="1">
      <c r="AQ92" s="31">
        <f ca="1"/>
        <v>133070.82429053177</v>
      </c>
      <c r="AR92" s="31">
        <v>30.96</v>
      </c>
      <c r="AT92" s="31">
        <f ca="1"/>
        <v>-15713.718828474004</v>
      </c>
      <c r="AU92" s="31">
        <v>24.48</v>
      </c>
    </row>
    <row r="93" spans="43:47" ht="20.25" customHeight="1">
      <c r="AQ93" s="31">
        <f ca="1"/>
        <v>151009.83069098004</v>
      </c>
      <c r="AR93" s="31">
        <v>31.439999999999998</v>
      </c>
      <c r="AT93" s="31">
        <f ca="1"/>
        <v>-12745.597646893708</v>
      </c>
      <c r="AU93" s="31">
        <v>24.72</v>
      </c>
    </row>
    <row r="94" spans="43:47" ht="20.25" customHeight="1">
      <c r="AQ94" s="31">
        <f ca="1"/>
        <v>170105.29905372011</v>
      </c>
      <c r="AR94" s="31">
        <v>31.92</v>
      </c>
      <c r="AT94" s="31">
        <f ca="1"/>
        <v>-9618.1149172803343</v>
      </c>
      <c r="AU94" s="31">
        <v>24.96</v>
      </c>
    </row>
    <row r="95" spans="43:47" ht="20.25" customHeight="1">
      <c r="AQ95" s="31">
        <f ca="1"/>
        <v>190398.91746840309</v>
      </c>
      <c r="AR95" s="31">
        <v>32.4</v>
      </c>
      <c r="AT95" s="31">
        <f ca="1"/>
        <v>-6327.156470786962</v>
      </c>
      <c r="AU95" s="31">
        <v>25.2</v>
      </c>
    </row>
    <row r="96" spans="43:47" ht="20.25" customHeight="1">
      <c r="AQ96" s="31">
        <f ca="1"/>
        <v>211932.98979583045</v>
      </c>
      <c r="AR96" s="31">
        <v>32.879999999999995</v>
      </c>
      <c r="AT96" s="31">
        <f ca="1"/>
        <v>-2868.5696528697517</v>
      </c>
      <c r="AU96" s="31">
        <v>25.439999999999998</v>
      </c>
    </row>
    <row r="97" spans="43:47" ht="20.25" customHeight="1">
      <c r="AQ97" s="31">
        <f ca="1"/>
        <v>234750.43566795322</v>
      </c>
      <c r="AR97" s="31">
        <v>33.36</v>
      </c>
      <c r="AT97" s="31">
        <f ca="1"/>
        <v>761.83667671208241</v>
      </c>
      <c r="AU97" s="31">
        <v>25.68</v>
      </c>
    </row>
    <row r="98" spans="43:47" ht="20.25" customHeight="1">
      <c r="AQ98" s="31">
        <f ca="1"/>
        <v>258894.79048787028</v>
      </c>
      <c r="AR98" s="31">
        <v>33.839999999999996</v>
      </c>
      <c r="AT98" s="31">
        <f ca="1"/>
        <v>4568.2921438957492</v>
      </c>
      <c r="AU98" s="31">
        <v>25.919999999999998</v>
      </c>
    </row>
    <row r="99" spans="43:47" ht="20.25" customHeight="1">
      <c r="AQ99" s="31">
        <f ca="1"/>
        <v>284410.20542983053</v>
      </c>
      <c r="AR99" s="31">
        <v>34.32</v>
      </c>
      <c r="AT99" s="31">
        <f ca="1"/>
        <v>8555.0648603157824</v>
      </c>
      <c r="AU99" s="31">
        <v>26.16</v>
      </c>
    </row>
    <row r="100" spans="43:47" ht="20.25" customHeight="1">
      <c r="AQ100" s="31">
        <f ca="1"/>
        <v>311341.44743923139</v>
      </c>
      <c r="AR100" s="31">
        <v>34.799999999999997</v>
      </c>
      <c r="AT100" s="31">
        <f ca="1"/>
        <v>12726.461423303197</v>
      </c>
      <c r="AU100" s="31">
        <v>26.4</v>
      </c>
    </row>
    <row r="101" spans="43:47" ht="20.25" customHeight="1">
      <c r="AQ101" s="31">
        <f ca="1"/>
        <v>339733.8992326209</v>
      </c>
      <c r="AR101" s="31">
        <v>35.28</v>
      </c>
      <c r="AT101" s="31">
        <f ca="1"/>
        <v>17086.826915885984</v>
      </c>
      <c r="AU101" s="31">
        <v>26.64</v>
      </c>
    </row>
    <row r="102" spans="43:47" ht="20.25" customHeight="1">
      <c r="AQ102" s="31">
        <f ca="1"/>
        <v>369633.55929769459</v>
      </c>
      <c r="AR102" s="31">
        <v>35.76</v>
      </c>
      <c r="AT102" s="31">
        <f ca="1"/>
        <v>21640.544906788818</v>
      </c>
      <c r="AU102" s="31">
        <v>26.88</v>
      </c>
    </row>
    <row r="103" spans="43:47" ht="20.25" customHeight="1">
      <c r="AQ103" s="31">
        <f ca="1"/>
        <v>401087.04189329821</v>
      </c>
      <c r="AR103" s="31">
        <v>36.239999999999995</v>
      </c>
      <c r="AT103" s="31">
        <f ca="1"/>
        <v>26392.037450433352</v>
      </c>
      <c r="AU103" s="31">
        <v>27.119999999999997</v>
      </c>
    </row>
    <row r="104" spans="43:47" ht="20.25" customHeight="1">
      <c r="AQ104" s="31">
        <f ca="1"/>
        <v>434141.57704942679</v>
      </c>
      <c r="AR104" s="31">
        <v>36.72</v>
      </c>
      <c r="AT104" s="31">
        <f ca="1"/>
        <v>31345.765086938154</v>
      </c>
      <c r="AU104" s="31">
        <v>27.36</v>
      </c>
    </row>
    <row r="105" spans="43:47" ht="20.25" customHeight="1">
      <c r="AQ105" s="31">
        <f ca="1"/>
        <v>468845.01056722348</v>
      </c>
      <c r="AR105" s="31">
        <v>37.199999999999996</v>
      </c>
      <c r="AT105" s="31">
        <f ca="1"/>
        <v>36506.2268421181</v>
      </c>
      <c r="AU105" s="31">
        <v>27.599999999999998</v>
      </c>
    </row>
    <row r="106" spans="43:47" ht="20.25" customHeight="1">
      <c r="AQ106" s="31">
        <f ca="1"/>
        <v>505245.80401898216</v>
      </c>
      <c r="AR106" s="31">
        <v>37.68</v>
      </c>
      <c r="AT106" s="31">
        <f ca="1"/>
        <v>41877.960227485768</v>
      </c>
      <c r="AU106" s="31">
        <v>27.84</v>
      </c>
    </row>
    <row r="107" spans="43:47" ht="20.25" customHeight="1">
      <c r="AQ107" s="31">
        <f ca="1"/>
        <v>543393.0347481441</v>
      </c>
      <c r="AR107" s="31">
        <v>38.159999999999997</v>
      </c>
      <c r="AT107" s="31">
        <f ca="1"/>
        <v>47465.54124024952</v>
      </c>
      <c r="AU107" s="31">
        <v>28.08</v>
      </c>
    </row>
    <row r="108" spans="43:47" ht="20.25" customHeight="1">
      <c r="AQ108" s="31">
        <f ca="1"/>
        <v>583336.39586930175</v>
      </c>
      <c r="AR108" s="31">
        <v>38.64</v>
      </c>
      <c r="AT108" s="31">
        <f ca="1"/>
        <v>53273.584363315509</v>
      </c>
      <c r="AU108" s="31">
        <v>28.32</v>
      </c>
    </row>
    <row r="109" spans="43:47" ht="20.25" customHeight="1">
      <c r="AQ109" s="31">
        <f ca="1"/>
        <v>625126.19626819494</v>
      </c>
      <c r="AR109" s="31">
        <v>39.119999999999997</v>
      </c>
      <c r="AT109" s="31">
        <f ca="1"/>
        <v>59306.742565285989</v>
      </c>
      <c r="AU109" s="31">
        <v>28.56</v>
      </c>
    </row>
    <row r="110" spans="43:47" ht="20.25" customHeight="1">
      <c r="AQ110" s="31">
        <f ca="1"/>
        <v>668813.36060171446</v>
      </c>
      <c r="AR110" s="31">
        <v>39.6</v>
      </c>
      <c r="AT110" s="31">
        <f ca="1"/>
        <v>65569.707300460432</v>
      </c>
      <c r="AU110" s="31">
        <v>28.8</v>
      </c>
    </row>
    <row r="111" spans="43:47" ht="20.25" customHeight="1">
      <c r="AQ111" s="31">
        <f ca="1"/>
        <v>714449.42929789773</v>
      </c>
      <c r="AR111" s="31">
        <v>40.08</v>
      </c>
      <c r="AT111" s="31">
        <f ca="1"/>
        <v>72067.208508835029</v>
      </c>
      <c r="AU111" s="31">
        <v>29.04</v>
      </c>
    </row>
    <row r="112" spans="43:47" ht="20.25" customHeight="1">
      <c r="AQ112" s="31">
        <f ca="1"/>
        <v>762086.55855593458</v>
      </c>
      <c r="AR112" s="31">
        <v>40.559999999999995</v>
      </c>
      <c r="AT112" s="31">
        <f ca="1"/>
        <v>78804.014616102737</v>
      </c>
      <c r="AU112" s="31">
        <v>29.279999999999998</v>
      </c>
    </row>
    <row r="113" spans="43:47" ht="20.25" customHeight="1">
      <c r="AQ113" s="31">
        <f ca="1"/>
        <v>811777.52034616179</v>
      </c>
      <c r="AR113" s="31">
        <v>41.04</v>
      </c>
      <c r="AT113" s="31">
        <f ca="1"/>
        <v>85784.932533653511</v>
      </c>
      <c r="AU113" s="31">
        <v>29.52</v>
      </c>
    </row>
    <row r="114" spans="43:47" ht="20.25" customHeight="1">
      <c r="AQ114" s="31">
        <f ca="1"/>
        <v>863575.70241006557</v>
      </c>
      <c r="AR114" s="31">
        <v>41.519999999999996</v>
      </c>
      <c r="AT114" s="31">
        <f ca="1"/>
        <v>93014.807658573845</v>
      </c>
      <c r="AU114" s="31">
        <v>29.759999999999998</v>
      </c>
    </row>
    <row r="115" spans="43:47" ht="20.25" customHeight="1">
      <c r="AQ115" s="31">
        <f ca="1"/>
        <v>917535.10826028266</v>
      </c>
      <c r="AR115" s="31">
        <v>42</v>
      </c>
      <c r="AT115" s="31">
        <f ca="1"/>
        <v>100498.52387364744</v>
      </c>
      <c r="AU115" s="31">
        <v>30</v>
      </c>
    </row>
  </sheetData>
  <sheetProtection algorithmName="SHA-512" hashValue="0vR/5OF2Wz9FAbX209qOEbnVW6+QPjL7kEH5nuK1sMEnnUVf+KuASl8PWDw8/fnQYF3A3HTHnZ3XDIjdSxlVGQ==" saltValue="0elZvvQ0a8uQfA2R0Tm2bw==" spinCount="100000" sheet="1" objects="1" scenarios="1"/>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33876-85C4-4B6D-B116-7DB2FED05298}">
  <sheetPr codeName="Sheet12">
    <tabColor rgb="FFFFFFCC"/>
  </sheetPr>
  <dimension ref="A1:E12"/>
  <sheetViews>
    <sheetView showGridLines="0" showRowColHeaders="0" workbookViewId="0">
      <pane ySplit="3" topLeftCell="A4" activePane="bottomLeft" state="frozen"/>
      <selection pane="bottomLeft" activeCell="D8" sqref="D8"/>
    </sheetView>
  </sheetViews>
  <sheetFormatPr defaultColWidth="3.375" defaultRowHeight="20.25" customHeight="1"/>
  <cols>
    <col min="4" max="4" width="30.625" bestFit="1" customWidth="1"/>
    <col min="5" max="5" width="56.25" customWidth="1"/>
    <col min="6" max="10" width="10" customWidth="1"/>
    <col min="15" max="15" width="11" bestFit="1" customWidth="1"/>
    <col min="16" max="18" width="11" customWidth="1"/>
    <col min="20" max="20" width="3.25" bestFit="1" customWidth="1"/>
  </cols>
  <sheetData>
    <row r="1" spans="1:5" s="71" customFormat="1" ht="20.25" customHeight="1">
      <c r="A1" s="73" t="s">
        <v>669</v>
      </c>
    </row>
    <row r="2" spans="1:5" s="71" customFormat="1" ht="30">
      <c r="A2" s="72" t="s">
        <v>480</v>
      </c>
    </row>
    <row r="3" spans="1:5" s="69" customFormat="1" ht="7.5" customHeight="1"/>
    <row r="5" spans="1:5" ht="20.25" customHeight="1">
      <c r="B5" s="70" t="s">
        <v>481</v>
      </c>
    </row>
    <row r="6" spans="1:5" ht="20.25" customHeight="1">
      <c r="B6" s="70"/>
    </row>
    <row r="7" spans="1:5" ht="20.25" customHeight="1">
      <c r="D7" s="75" t="s">
        <v>482</v>
      </c>
      <c r="E7" s="142" t="s">
        <v>484</v>
      </c>
    </row>
    <row r="8" spans="1:5" ht="20.25" customHeight="1">
      <c r="D8" s="75" t="s">
        <v>483</v>
      </c>
      <c r="E8" s="142" t="s">
        <v>485</v>
      </c>
    </row>
    <row r="10" spans="1:5" ht="20.25" customHeight="1">
      <c r="B10" s="70" t="s">
        <v>522</v>
      </c>
    </row>
    <row r="11" spans="1:5" ht="20.25" customHeight="1">
      <c r="B11" s="70"/>
    </row>
    <row r="12" spans="1:5" ht="20.25" customHeight="1">
      <c r="D12" s="75" t="s">
        <v>523</v>
      </c>
      <c r="E12" s="142" t="s">
        <v>486</v>
      </c>
    </row>
  </sheetData>
  <sheetProtection algorithmName="SHA-512" hashValue="9FrPIXw1md/KidqyHoAvn9PO0Y4BfKbHow9fIYSlNGbvIPiGH5HmIVTjjABVK/CW+OSRmNwSs5oCZIzAAZqT+Q==" saltValue="qHjZwUramMap5Yxy8K1IaA==" spinCount="100000" sheet="1" objects="1" scenarios="1"/>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6AE6-16F2-4BC0-B07A-B2F63E0C3249}">
  <sheetPr codeName="Sheet20">
    <tabColor theme="0" tint="-0.499984740745262"/>
  </sheetPr>
  <dimension ref="A1:AN30"/>
  <sheetViews>
    <sheetView showGridLines="0" zoomScaleNormal="100" workbookViewId="0"/>
  </sheetViews>
  <sheetFormatPr defaultColWidth="3.375" defaultRowHeight="20.25" customHeight="1"/>
  <cols>
    <col min="1" max="2" width="3.375" style="31"/>
    <col min="3" max="3" width="5.25" style="31" bestFit="1" customWidth="1"/>
    <col min="4" max="4" width="12.75" style="31" bestFit="1" customWidth="1"/>
    <col min="5" max="8" width="3.375" style="31"/>
    <col min="9" max="9" width="31.375" style="31" bestFit="1" customWidth="1"/>
    <col min="10" max="10" width="13.75" style="31" bestFit="1" customWidth="1"/>
    <col min="11" max="11" width="5.375" style="31" bestFit="1" customWidth="1"/>
    <col min="12" max="13" width="3.375" style="31"/>
    <col min="14" max="14" width="5.25" style="31" bestFit="1" customWidth="1"/>
    <col min="15" max="15" width="29.875" style="31" bestFit="1" customWidth="1"/>
    <col min="16" max="16" width="12.75" style="31" bestFit="1" customWidth="1"/>
    <col min="17" max="17" width="24.75" style="31" bestFit="1" customWidth="1"/>
    <col min="18" max="19" width="3.375" style="31"/>
    <col min="21" max="21" width="3.375" style="31"/>
    <col min="22" max="22" width="5.25" style="31" bestFit="1" customWidth="1"/>
    <col min="23" max="23" width="12.75" style="31" bestFit="1" customWidth="1"/>
    <col min="24" max="24" width="13.375" style="31" bestFit="1" customWidth="1"/>
    <col min="25" max="25" width="34.125" style="31" bestFit="1" customWidth="1"/>
    <col min="26" max="28" width="12.75" style="31" bestFit="1" customWidth="1"/>
    <col min="29" max="31" width="3.375" style="31"/>
    <col min="32" max="32" width="5.25" style="31" bestFit="1" customWidth="1"/>
    <col min="33" max="36" width="12.75" style="31" customWidth="1"/>
    <col min="37" max="37" width="32" style="31" bestFit="1" customWidth="1"/>
    <col min="38" max="40" width="12.75" style="31" bestFit="1" customWidth="1"/>
    <col min="41" max="43" width="3.375" style="31"/>
    <col min="44" max="44" width="3.375" style="31" customWidth="1"/>
    <col min="45" max="16384" width="3.375" style="31"/>
  </cols>
  <sheetData>
    <row r="1" spans="1:40" s="40" customFormat="1" ht="20.25" customHeight="1">
      <c r="A1" s="40" t="s">
        <v>509</v>
      </c>
    </row>
    <row r="2" spans="1:40" s="40" customFormat="1" ht="30">
      <c r="B2" s="41" t="s">
        <v>329</v>
      </c>
    </row>
    <row r="3" spans="1:40" s="39" customFormat="1" ht="7.5" customHeight="1"/>
    <row r="5" spans="1:40" ht="20.25" customHeight="1">
      <c r="B5" s="31" t="s">
        <v>102</v>
      </c>
      <c r="F5" s="31" t="s">
        <v>101</v>
      </c>
      <c r="S5" s="31" t="s">
        <v>303</v>
      </c>
      <c r="W5" s="31" t="str" cm="1">
        <f t="array" aca="1" ref="W5" ca="1">IF(OR(ISERROR(O9:O18)),"!!エラー!!"&amp;CHAR(10)&amp;"要求条件"&amp;COUNT(_xlfn.ANCHORARRAY(N9))&amp;"点のうち"&amp;COUNT(_xlfn.ANCHORARRAY(N9))-COUNT(O9:O18)&amp;"点で計算エラーが発生しています。","")</f>
        <v/>
      </c>
    </row>
    <row r="6" spans="1:40" ht="20.25" customHeight="1">
      <c r="C6" s="37" t="s">
        <v>311</v>
      </c>
      <c r="D6" s="37" t="s">
        <v>319</v>
      </c>
      <c r="G6" s="31" t="s">
        <v>99</v>
      </c>
      <c r="M6" s="31" t="s">
        <v>318</v>
      </c>
      <c r="T6" s="31" t="s">
        <v>317</v>
      </c>
    </row>
    <row r="7" spans="1:40" ht="20.25" customHeight="1">
      <c r="C7" s="50" t="s">
        <v>305</v>
      </c>
      <c r="D7" s="35" t="s">
        <v>83</v>
      </c>
      <c r="I7" s="33" t="s">
        <v>328</v>
      </c>
      <c r="J7" s="32" t="s">
        <v>513</v>
      </c>
      <c r="N7" s="37" t="s">
        <v>311</v>
      </c>
      <c r="O7" s="37" t="s">
        <v>302</v>
      </c>
      <c r="P7" s="37" t="s">
        <v>298</v>
      </c>
      <c r="Q7" s="37" t="s">
        <v>297</v>
      </c>
      <c r="U7" s="31" t="s">
        <v>315</v>
      </c>
      <c r="AE7" s="31" t="s">
        <v>316</v>
      </c>
    </row>
    <row r="8" spans="1:40" ht="20.25" customHeight="1">
      <c r="C8" s="31" cm="1">
        <f t="array" ref="C8:C17">_xlfn.ANCHORARRAY(N9)</f>
        <v>1</v>
      </c>
      <c r="D8" s="31" cm="1">
        <f t="array" aca="1" ref="D8:D17" ca="1">_xlfn.LET(
    _xlpm._type_curve, J7,
    _xlpm._powers_shaft_by_power_curve,_xlfn.ANCHORARRAY( W16),
    _xlpm._powers_shaft_by_efficiency_curve,_xlfn.ANCHORARRAY( AH16),
    _xlpm._are_available_by_power_curve,_xlfn.ANCHORARRAY( Y16),
    _xlpm._are_available_by_efficiency_curve,_xlfn.ANCHORARRAY( AK16),
    IF(
        _xlpm._type_curve = "ポンプ効率",
        IF(
            _xlpm._are_available_by_efficiency_curve,
            _xlpm._powers_shaft_by_efficiency_curve,
            NA()
        ),
        IF(
            _xlpm._type_curve = "軸動力",
            IF(
                _xlpm._are_available_by_power_curve,
                _xlpm._powers_shaft_by_power_curve,
                NA()
            ),
            NA()
        )
    )
)</f>
        <v>1.9721300841581935</v>
      </c>
      <c r="I8" s="33" t="s">
        <v>115</v>
      </c>
      <c r="J8" s="32">
        <f>10^3</f>
        <v>1000</v>
      </c>
      <c r="K8" s="31" t="s">
        <v>114</v>
      </c>
      <c r="N8" s="50" t="s">
        <v>305</v>
      </c>
      <c r="O8" s="35" t="s">
        <v>104</v>
      </c>
      <c r="P8" s="35" t="s">
        <v>92</v>
      </c>
      <c r="Q8" s="35" t="s">
        <v>296</v>
      </c>
    </row>
    <row r="9" spans="1:40" ht="20.25" customHeight="1">
      <c r="C9" s="31">
        <v>2</v>
      </c>
      <c r="D9" s="31">
        <f ca="1"/>
        <v>5.604936289448581</v>
      </c>
      <c r="H9" s="31" t="s">
        <v>112</v>
      </c>
      <c r="I9" s="33"/>
      <c r="N9" s="31" cm="1">
        <f t="array" ref="N9:N18">_xlfn.SEQUENCE(10)</f>
        <v>1</v>
      </c>
      <c r="O9" s="32" cm="1">
        <f t="array" aca="1" ref="O9:O18" ca="1">_xlfn.LET(_xlpm._numbers_pump,_xlfn.ANCHORARRAY( N9), _xlfn.MAP(_xlpm._numbers_pump, _xlfn.LAMBDA(_xlpm._number_pump, INDIRECT("D_" &amp; _xlpm._number_pump &amp; "!D6", TRUE))))</f>
        <v>13.807193040847778</v>
      </c>
      <c r="P9" s="32" cm="1">
        <f t="array" ref="P9:P18">_xlfn.ANCHORARRAY(prm!A5)</f>
        <v>1275</v>
      </c>
      <c r="Q9" s="32" cm="1">
        <f t="array" ref="Q9:Q18">_xlfn.ANCHORARRAY(prm!B5)</f>
        <v>66.951999999999984</v>
      </c>
    </row>
    <row r="10" spans="1:40" ht="20.25" customHeight="1">
      <c r="C10" s="31">
        <v>3</v>
      </c>
      <c r="D10" s="31">
        <f ca="1"/>
        <v>4.4845507817035903</v>
      </c>
      <c r="I10" s="33" t="s">
        <v>111</v>
      </c>
      <c r="J10" s="32">
        <v>0.3</v>
      </c>
      <c r="K10" s="31" t="s">
        <v>110</v>
      </c>
      <c r="N10" s="31">
        <v>2</v>
      </c>
      <c r="O10" s="32">
        <f ca="1"/>
        <v>18.98049920797348</v>
      </c>
      <c r="P10" s="32">
        <v>2550</v>
      </c>
      <c r="Q10" s="32">
        <v>83.903999999999982</v>
      </c>
    </row>
    <row r="11" spans="1:40" ht="20.25" customHeight="1">
      <c r="C11" s="31">
        <v>4</v>
      </c>
      <c r="D11" s="31">
        <f ca="1"/>
        <v>7.2813327239874477</v>
      </c>
      <c r="N11" s="31">
        <v>3</v>
      </c>
      <c r="O11" s="32">
        <f ca="1"/>
        <v>17.881303310394287</v>
      </c>
      <c r="P11" s="32">
        <v>1912.5</v>
      </c>
      <c r="Q11" s="32">
        <v>100.85599999999999</v>
      </c>
    </row>
    <row r="12" spans="1:40" ht="20.25" customHeight="1">
      <c r="C12" s="31">
        <v>5</v>
      </c>
      <c r="D12" s="31">
        <f ca="1"/>
        <v>6.6369196301644688</v>
      </c>
      <c r="H12" s="31" t="s">
        <v>314</v>
      </c>
      <c r="N12" s="31">
        <v>4</v>
      </c>
      <c r="O12" s="32">
        <f ca="1"/>
        <v>20.813765108585358</v>
      </c>
      <c r="P12" s="32">
        <v>2550</v>
      </c>
      <c r="Q12" s="32">
        <v>117.80799999999998</v>
      </c>
    </row>
    <row r="13" spans="1:40" ht="20.25" customHeight="1">
      <c r="C13" s="31">
        <v>6</v>
      </c>
      <c r="D13" s="31">
        <f ca="1"/>
        <v>9.0930742893437237</v>
      </c>
      <c r="I13" s="33" t="s">
        <v>252</v>
      </c>
      <c r="J13" s="32">
        <f>'C2'!E7</f>
        <v>-5.7693465431492936E-3</v>
      </c>
      <c r="N13" s="31">
        <v>5</v>
      </c>
      <c r="O13" s="32">
        <f ca="1"/>
        <v>20.428306460380554</v>
      </c>
      <c r="P13" s="32">
        <v>2125</v>
      </c>
      <c r="Q13" s="32">
        <v>134.76</v>
      </c>
    </row>
    <row r="14" spans="1:40" ht="20.25" customHeight="1">
      <c r="C14" s="31">
        <v>7</v>
      </c>
      <c r="D14" s="31">
        <f ca="1"/>
        <v>8.6969086609712605</v>
      </c>
      <c r="I14" s="33" t="s">
        <v>251</v>
      </c>
      <c r="J14" s="32">
        <f>'C2'!E8</f>
        <v>7.4157385592267144E-2</v>
      </c>
      <c r="N14" s="31">
        <v>6</v>
      </c>
      <c r="O14" s="32">
        <f ca="1"/>
        <v>22.530391037464142</v>
      </c>
      <c r="P14" s="32">
        <v>2550</v>
      </c>
      <c r="Q14" s="32">
        <v>151.71199999999999</v>
      </c>
      <c r="V14" s="37" t="s">
        <v>311</v>
      </c>
      <c r="W14" s="37" t="s">
        <v>310</v>
      </c>
      <c r="X14" s="37" t="s">
        <v>309</v>
      </c>
      <c r="Y14" s="37" t="s">
        <v>540</v>
      </c>
      <c r="Z14" s="38" t="s">
        <v>308</v>
      </c>
      <c r="AA14" s="47" t="s">
        <v>307</v>
      </c>
      <c r="AB14" s="37" t="s">
        <v>306</v>
      </c>
      <c r="AF14" s="37" t="s">
        <v>311</v>
      </c>
      <c r="AG14" s="37" t="s">
        <v>309</v>
      </c>
      <c r="AH14" s="38" t="s">
        <v>310</v>
      </c>
      <c r="AI14" s="38" t="s">
        <v>313</v>
      </c>
      <c r="AJ14" s="38" t="s">
        <v>312</v>
      </c>
      <c r="AK14" s="37" t="s">
        <v>541</v>
      </c>
      <c r="AL14" s="38" t="s">
        <v>308</v>
      </c>
      <c r="AM14" s="38" t="s">
        <v>307</v>
      </c>
      <c r="AN14" s="38" t="s">
        <v>306</v>
      </c>
    </row>
    <row r="15" spans="1:40" ht="20.25" customHeight="1">
      <c r="C15" s="31">
        <v>8</v>
      </c>
      <c r="D15" s="31">
        <f ca="1"/>
        <v>10.98779590101055</v>
      </c>
      <c r="I15" s="33" t="s">
        <v>250</v>
      </c>
      <c r="J15" s="32">
        <f>'C2'!E9</f>
        <v>-0.36727211571550272</v>
      </c>
      <c r="N15" s="31">
        <v>7</v>
      </c>
      <c r="O15" s="32">
        <f ca="1"/>
        <v>22.45580792427063</v>
      </c>
      <c r="P15" s="32">
        <v>2231.25</v>
      </c>
      <c r="Q15" s="32">
        <v>168.66399999999999</v>
      </c>
      <c r="V15" s="50" t="s">
        <v>305</v>
      </c>
      <c r="W15" s="36" t="s">
        <v>83</v>
      </c>
      <c r="X15" s="36" t="s">
        <v>84</v>
      </c>
      <c r="Y15" s="36" t="s">
        <v>539</v>
      </c>
      <c r="Z15" s="35" t="s">
        <v>84</v>
      </c>
      <c r="AA15" s="35" t="s">
        <v>104</v>
      </c>
      <c r="AB15" s="35" t="s">
        <v>92</v>
      </c>
      <c r="AF15" s="50" t="s">
        <v>305</v>
      </c>
      <c r="AG15" s="36" t="s">
        <v>84</v>
      </c>
      <c r="AH15" s="36" t="s">
        <v>83</v>
      </c>
      <c r="AI15" s="36" t="s">
        <v>296</v>
      </c>
      <c r="AJ15" s="36" t="s">
        <v>84</v>
      </c>
      <c r="AK15" s="36" t="s">
        <v>539</v>
      </c>
      <c r="AL15" s="35" t="s">
        <v>84</v>
      </c>
      <c r="AM15" s="35" t="s">
        <v>104</v>
      </c>
      <c r="AN15" s="35" t="s">
        <v>92</v>
      </c>
    </row>
    <row r="16" spans="1:40" ht="20.25" customHeight="1">
      <c r="C16" s="31">
        <v>9</v>
      </c>
      <c r="D16" s="31">
        <f ca="1"/>
        <v>10.736177084215379</v>
      </c>
      <c r="I16" s="33" t="s">
        <v>244</v>
      </c>
      <c r="J16" s="32">
        <f>'C2'!E10</f>
        <v>0.83158756507979192</v>
      </c>
      <c r="N16" s="31">
        <v>8</v>
      </c>
      <c r="O16" s="32">
        <f ca="1"/>
        <v>24.13189297914505</v>
      </c>
      <c r="P16" s="32">
        <v>2550</v>
      </c>
      <c r="Q16" s="32">
        <v>185.61599999999999</v>
      </c>
      <c r="V16" s="31" cm="1">
        <f t="array" ref="V16:V25">_xlfn.ANCHORARRAY(N9)</f>
        <v>1</v>
      </c>
      <c r="W16" s="42" cm="1">
        <f t="array" aca="1" ref="W16:W25" ca="1">_xlfn.LET(
    _xlpm._rho, J8,
    _xlpm._N_c,_xlfn.ANCHORARRAY( AA16),
    _xlpm._D, J10,
    _xlpm._C_W_c,_xlfn.ANCHORARRAY( X16),
    _xlpm._rho * _xlpm._N_c ^ 3 * _xlpm._D ^ 5 * _xlpm._C_W_c
)</f>
        <v>1.9721300841581935</v>
      </c>
      <c r="X16" s="31" cm="1">
        <f t="array" aca="1" ref="X16:X25" ca="1">_xlfn.LET(
    _xlpm._coefficient_gamma, TRANSPOSE(J23:J27),
    _xlpm._values_C_f_c,_xlfn.ANCHORARRAY( Z16),
    _xlfn.MAP(
        _xlpm._values_C_f_c,
        _xlfn.LAMBDA(_xlpm._C_f_c,
            SUM(
                _xlpm._coefficient_gamma *
                    _xlfn.HSTACK(_xlpm._C_f_c ^ {4,3,2,1}, 1)
            )
        )
    )
)</f>
        <v>3.0832809101293652E-4</v>
      </c>
      <c r="Y16" s="31" t="b" cm="1">
        <f t="array" aca="1" ref="Y16:Y25" ca="1">_xlfn.LET(
    _xlpm._C_f_min_sample, J29,
    _xlpm._C_f_max_sample, J30,
    _xlpm._values_C_f_c,_xlfn.ANCHORARRAY( Z16),
    _xlfn.MAP(
        _xlpm._values_C_f_c,
        _xlfn.LAMBDA(_xlpm._C_f_c,
            AND(_xlpm._C_f_min_sample &lt;= _xlpm._C_f_c, _xlpm._C_f_c &lt;= _xlpm._C_f_max_sample)
        )
    )
)</f>
        <v>1</v>
      </c>
      <c r="Z16" s="31" cm="1">
        <f t="array" aca="1" ref="Z16:Z25" ca="1">_xlfn.LET(
    _xlpm._m_c,_xlfn.ANCHORARRAY( AB16),
    _xlpm._rho, J8,
    _xlpm._N_c,_xlfn.ANCHORARRAY( AA16),
    _xlpm._D, J10,
    _xlpm._m_c * _xlpm._rho ^ -1 * _xlpm._N_c ^ -1 * _xlpm._D ^ -3
)</f>
        <v>3.4201174766310598</v>
      </c>
      <c r="AA16" s="31" cm="1">
        <f t="array" aca="1" ref="AA16:AA25" ca="1">_xlfn.LET(_xlpm._N_c_input, O9:O1008, _xlpm._numbers_row, _xlfn.LET(_xlpm._tmp, _xlfn._xlws.SORT(_xlfn.UNIQUE(_xlfn.SEQUENCE(ROWS(_xlpm._N_c_input)) * IFERROR(LEN(_xlpm._N_c_input) &gt; 0, ISERROR(_xlpm._N_c_input)))), IF(ROWS(_xlpm._tmp) = 1, IF(_xlpm._tmp = 0, NA(), _xlpm._tmp), _xlfn.UNIQUE(IF(_xlpm._tmp = 0, INDEX(_xlpm._tmp, 2), _xlpm._tmp)))), IF(ISNA(_xlpm._numbers_row), {""}, _xlfn.CHOOSEROWS(_xlpm._N_c_input, _xlpm._numbers_row)))</f>
        <v>13.807193040847778</v>
      </c>
      <c r="AB16" s="31" cm="1">
        <f t="array" ref="AB16:AB25">_xlfn.LET(
    _xlpm._m_c_input, P9:P1008,
    _xlpm._numbers_row, _xlfn.LET(
        _xlpm._tmp, _xlfn._xlws.SORT(
            _xlfn.UNIQUE(
                _xlfn.SEQUENCE(ROWS(_xlpm._m_c_input)) *
                    (LEN(TRIM(_xlpm._m_c_input)) &gt; 0)
            )
        ),
        IF(
            ROWS(_xlpm._tmp) = 1,
            IF(_xlpm._tmp = 0, NA(), _xlpm._tmp),
            _xlfn.UNIQUE(IF(_xlpm._tmp = 0, INDEX(_xlpm._tmp, 2), _xlpm._tmp))
        )
    ),
    IF(
        ISNA(_xlpm._numbers_row),
        {""},
        _xlfn.CHOOSEROWS(_xlpm._m_c_input, _xlpm._numbers_row)
    )
)</f>
        <v>1275</v>
      </c>
      <c r="AF16" s="31" cm="1">
        <f t="array" ref="AF16:AF25">_xlfn.ANCHORARRAY(N9)</f>
        <v>1</v>
      </c>
      <c r="AG16" s="31" cm="1">
        <f t="array" aca="1" ref="AG16:AG25" ca="1">_xlfn.LET(
    _xlpm._W,_xlfn.ANCHORARRAY( AH16),
    _xlpm._rho, $J$8,
    _xlpm._D, $J$10,
    _xlpm._N_c,_xlfn.ANCHORARRAY( $AM$16),
    _xlpm._W * _xlpm._rho ^ -1 * _xlpm._N_c ^ -3 * _xlpm._D ^ -5
)</f>
        <v>1.8787833838721416E-2</v>
      </c>
      <c r="AH16" s="31" cm="1">
        <f t="array" aca="1" ref="AH16:AH25" ca="1">_xlfn.LET(
    _xlpm._m_c,_xlfn.ANCHORARRAY( AN16),
    _xlpm._dP_c,_xlfn.ANCHORARRAY( AI16),
    _xlpm._eta_c,_xlfn.ANCHORARRAY( AJ16),
    _xlpm._rho, J8,
    _xlpm._m_c * _xlpm._dP_c * _xlpm._rho ^ -1 * _xlpm._eta_c ^ -1
)</f>
        <v>120.17086152540419</v>
      </c>
      <c r="AI16" s="31" cm="1">
        <f t="array" ref="AI16:AI25">_xlfn.LET(
    _xlpm._dP_c_input, Q9:Q1008,
    _xlpm._numbers_row, _xlfn.LET(
        _xlpm._tmp, _xlfn._xlws.SORT(
            _xlfn.UNIQUE(
                _xlfn.SEQUENCE(ROWS(_xlpm._dP_c_input)) *
                    (LEN(TRIM(_xlpm._dP_c_input)) &gt; 0)
            )
        ),
        IF(
            ROWS(_xlpm._tmp) = 1,
            IF(_xlpm._tmp = 0, NA(), _xlpm._tmp),
            _xlfn.UNIQUE(IF(_xlpm._tmp = 0, INDEX(_xlpm._tmp, 2), _xlpm._tmp))
        )
    ),
    IF(
        ISNA(_xlpm._numbers_row),
        {""},
        _xlfn.CHOOSEROWS(_xlpm._dP_c_input, _xlpm._numbers_row)
    )
)</f>
        <v>66.951999999999984</v>
      </c>
      <c r="AJ16" s="31" cm="1">
        <f t="array" aca="1" ref="AJ16:AJ25" ca="1">_xlfn.LET(
    _xlpm._coefficient_beta, TRANSPOSE(J13:J17),
    _xlpm._values_C_f_c,_xlfn.ANCHORARRAY( AL16),
    _xlfn.MAP(
        _xlpm._values_C_f_c,
        _xlfn.LAMBDA(_xlpm._C_f_c,
            SUM(
                _xlpm._coefficient_beta *
                    _xlfn.HSTACK(_xlpm._C_f_c ^ {4,3,2,1}, 1)
            )
        )
    )
)</f>
        <v>0.71035356588463849</v>
      </c>
      <c r="AK16" s="31" t="b" cm="1">
        <f t="array" aca="1" ref="AK16:AK25" ca="1">_xlfn.LET(
    _xlpm._C_f_min_sample, J19,
    _xlpm._C_f_max_sample, J20,
    _xlpm._values_C_f_c,_xlfn.ANCHORARRAY( AL16),
    _xlfn.MAP(
        _xlpm._values_C_f_c,
        _xlfn.LAMBDA(_xlpm._C_f_c,
            AND(_xlpm._C_f_min_sample &lt;= _xlpm._C_f_c, _xlpm._C_f_c &lt;= _xlpm._C_f_max_sample)
        )
    )
)</f>
        <v>1</v>
      </c>
      <c r="AL16" s="31" cm="1">
        <f t="array" aca="1" ref="AL16:AL25" ca="1">_xlfn.LET(
    _xlpm._m_c,_xlfn.ANCHORARRAY( AN16),
    _xlpm._rho, J8,
    _xlpm._N_c,_xlfn.ANCHORARRAY( AM16),
    _xlpm._D, J10,
    _xlpm._m_c * _xlpm._rho ^ -1 * _xlpm._N_c ^ -1 * _xlpm._D ^ -3
)</f>
        <v>3.4201174766310598</v>
      </c>
      <c r="AM16" s="31" cm="1">
        <f t="array" aca="1" ref="AM16:AM25" ca="1">_xlfn.LET(_xlpm._N_c_input, O9:O1008, _xlpm._numbers_row, _xlfn.LET(_xlpm._tmp, _xlfn._xlws.SORT(_xlfn.UNIQUE(_xlfn.SEQUENCE(ROWS(_xlpm._N_c_input)) * IFERROR(LEN(TRIM(_xlpm._N_c_input)) &gt; 0, ISERROR(_xlpm._N_c_input)))), IF(ROWS(_xlpm._tmp) = 1, IF(_xlpm._tmp = 0, NA(), _xlpm._tmp), _xlfn.UNIQUE(IF(_xlpm._tmp = 0, INDEX(_xlpm._tmp, 2), _xlpm._tmp)))), IF(ISNA(_xlpm._numbers_row), {""}, _xlfn.CHOOSEROWS(_xlpm._N_c_input, _xlpm._numbers_row)))</f>
        <v>13.807193040847778</v>
      </c>
      <c r="AN16" s="31" cm="1">
        <f t="array" ref="AN16:AN25">_xlfn.LET(
    _xlpm._m_c_input, P9:P1008,
    _xlpm._numbers_row, _xlfn.LET(
        _xlpm._tmp, _xlfn._xlws.SORT(
            _xlfn.UNIQUE(
                _xlfn.SEQUENCE(ROWS(_xlpm._m_c_input)) *
                    (LEN(TRIM(_xlpm._m_c_input)) &gt; 0)
            )
        ),
        IF(
            ROWS(_xlpm._tmp) = 1,
            IF(_xlpm._tmp = 0, NA(), _xlpm._tmp),
            _xlfn.UNIQUE(IF(_xlpm._tmp = 0, INDEX(_xlpm._tmp, 2), _xlpm._tmp))
        )
    ),
    IF(
        ISNA(_xlpm._numbers_row),
        {""},
        _xlfn.CHOOSEROWS(_xlpm._m_c_input, _xlpm._numbers_row)
    )
)</f>
        <v>1275</v>
      </c>
    </row>
    <row r="17" spans="3:40" ht="20.25" customHeight="1">
      <c r="C17" s="31">
        <v>10</v>
      </c>
      <c r="D17" s="31">
        <f ca="1"/>
        <v>12.936877660170893</v>
      </c>
      <c r="I17" s="33" t="s">
        <v>243</v>
      </c>
      <c r="J17" s="32">
        <f>'C2'!E11</f>
        <v>-1.5054836501088742E-2</v>
      </c>
      <c r="N17" s="31">
        <v>9</v>
      </c>
      <c r="O17" s="32">
        <f ca="1"/>
        <v>24.214419901371002</v>
      </c>
      <c r="P17" s="32">
        <v>2295</v>
      </c>
      <c r="Q17" s="32">
        <v>202.56799999999998</v>
      </c>
      <c r="V17" s="31">
        <v>2</v>
      </c>
      <c r="W17" s="31">
        <f ca="1"/>
        <v>5.604936289448581</v>
      </c>
      <c r="X17" s="31">
        <f ca="1"/>
        <v>3.3731955195568655E-4</v>
      </c>
      <c r="Y17" s="31" t="b">
        <f ca="1"/>
        <v>1</v>
      </c>
      <c r="Z17" s="31">
        <f ca="1"/>
        <v>4.9758672524677054</v>
      </c>
      <c r="AA17" s="31">
        <f ca="1"/>
        <v>18.98049920797348</v>
      </c>
      <c r="AB17" s="31">
        <v>2550</v>
      </c>
      <c r="AF17" s="31">
        <v>2</v>
      </c>
      <c r="AG17" s="31">
        <f ca="1"/>
        <v>2.0477696835260736E-2</v>
      </c>
      <c r="AH17" s="31">
        <f ca="1"/>
        <v>340.25951194005302</v>
      </c>
      <c r="AI17" s="31">
        <v>83.903999999999982</v>
      </c>
      <c r="AJ17" s="31">
        <f ca="1"/>
        <v>0.62880005552260543</v>
      </c>
      <c r="AK17" s="31" t="b">
        <f ca="1"/>
        <v>1</v>
      </c>
      <c r="AL17" s="31">
        <f ca="1"/>
        <v>4.9758672524677054</v>
      </c>
      <c r="AM17" s="31">
        <f ca="1"/>
        <v>18.98049920797348</v>
      </c>
      <c r="AN17" s="31">
        <v>2550</v>
      </c>
    </row>
    <row r="18" spans="3:40" ht="20.25" customHeight="1">
      <c r="N18" s="31">
        <v>10</v>
      </c>
      <c r="O18" s="32">
        <f ca="1"/>
        <v>25.630578517913818</v>
      </c>
      <c r="P18" s="32">
        <v>2550</v>
      </c>
      <c r="Q18" s="32">
        <v>219.51999999999998</v>
      </c>
      <c r="V18" s="31">
        <v>3</v>
      </c>
      <c r="W18" s="31">
        <f ca="1"/>
        <v>4.4845507817035903</v>
      </c>
      <c r="X18" s="31">
        <f ca="1"/>
        <v>3.2278635135161142E-4</v>
      </c>
      <c r="Y18" s="31" t="b">
        <f ca="1"/>
        <v>1</v>
      </c>
      <c r="Z18" s="31">
        <f ca="1"/>
        <v>3.961307076098775</v>
      </c>
      <c r="AA18" s="31">
        <f ca="1"/>
        <v>17.881303310394287</v>
      </c>
      <c r="AB18" s="31">
        <v>1912.5</v>
      </c>
      <c r="AF18" s="31">
        <v>3</v>
      </c>
      <c r="AG18" s="31">
        <f ca="1"/>
        <v>1.9694493307047024E-2</v>
      </c>
      <c r="AH18" s="31">
        <f ca="1"/>
        <v>273.62047678145404</v>
      </c>
      <c r="AI18" s="31">
        <v>100.85599999999999</v>
      </c>
      <c r="AJ18" s="31">
        <f ca="1"/>
        <v>0.70494395108470864</v>
      </c>
      <c r="AK18" s="31" t="b">
        <f ca="1"/>
        <v>1</v>
      </c>
      <c r="AL18" s="31">
        <f ca="1"/>
        <v>3.961307076098775</v>
      </c>
      <c r="AM18" s="31">
        <f ca="1"/>
        <v>17.881303310394287</v>
      </c>
      <c r="AN18" s="31">
        <v>1912.5</v>
      </c>
    </row>
    <row r="19" spans="3:40" ht="20.25" customHeight="1">
      <c r="I19" s="31" t="s">
        <v>537</v>
      </c>
      <c r="J19" s="32">
        <f>'C2'!E14</f>
        <v>0</v>
      </c>
      <c r="K19" s="31" t="s">
        <v>5</v>
      </c>
      <c r="V19" s="31">
        <v>4</v>
      </c>
      <c r="W19" s="31">
        <f ca="1"/>
        <v>7.2813327239874477</v>
      </c>
      <c r="X19" s="31">
        <f ca="1"/>
        <v>3.3231707451540345E-4</v>
      </c>
      <c r="Y19" s="31" t="b">
        <f ca="1"/>
        <v>1</v>
      </c>
      <c r="Z19" s="31">
        <f ca="1"/>
        <v>4.5375953822736079</v>
      </c>
      <c r="AA19" s="31">
        <f ca="1"/>
        <v>20.813765108585358</v>
      </c>
      <c r="AB19" s="31">
        <v>2550</v>
      </c>
      <c r="AF19" s="31">
        <v>4</v>
      </c>
      <c r="AG19" s="31">
        <f ca="1"/>
        <v>2.0197266142412462E-2</v>
      </c>
      <c r="AH19" s="31">
        <f ca="1"/>
        <v>442.53824487436918</v>
      </c>
      <c r="AI19" s="31">
        <v>117.80799999999998</v>
      </c>
      <c r="AJ19" s="31">
        <f ca="1"/>
        <v>0.67883488823724725</v>
      </c>
      <c r="AK19" s="31" t="b">
        <f ca="1"/>
        <v>1</v>
      </c>
      <c r="AL19" s="31">
        <f ca="1"/>
        <v>4.5375953822736079</v>
      </c>
      <c r="AM19" s="31">
        <f ca="1"/>
        <v>20.813765108585358</v>
      </c>
      <c r="AN19" s="31">
        <v>2550</v>
      </c>
    </row>
    <row r="20" spans="3:40" ht="20.25" customHeight="1">
      <c r="I20" s="31" t="s">
        <v>538</v>
      </c>
      <c r="J20" s="32">
        <f>'C2'!E15</f>
        <v>5.6803866333333337</v>
      </c>
      <c r="K20" s="31" t="s">
        <v>5</v>
      </c>
      <c r="V20" s="31">
        <v>5</v>
      </c>
      <c r="W20" s="31">
        <f ca="1"/>
        <v>6.6369196301644688</v>
      </c>
      <c r="X20" s="31">
        <f ca="1"/>
        <v>3.203783731523511E-4</v>
      </c>
      <c r="Y20" s="31" t="b">
        <f ca="1"/>
        <v>1</v>
      </c>
      <c r="Z20" s="31">
        <f ca="1"/>
        <v>3.8526788236873526</v>
      </c>
      <c r="AA20" s="31">
        <f ca="1"/>
        <v>20.428306460380554</v>
      </c>
      <c r="AB20" s="31">
        <v>2125</v>
      </c>
      <c r="AF20" s="31">
        <v>5</v>
      </c>
      <c r="AG20" s="31">
        <f ca="1"/>
        <v>1.9553023702627865E-2</v>
      </c>
      <c r="AH20" s="31">
        <f ca="1"/>
        <v>405.05807418945534</v>
      </c>
      <c r="AI20" s="31">
        <v>134.76</v>
      </c>
      <c r="AJ20" s="31">
        <f ca="1"/>
        <v>0.70697269909514326</v>
      </c>
      <c r="AK20" s="31" t="b">
        <f ca="1"/>
        <v>1</v>
      </c>
      <c r="AL20" s="31">
        <f ca="1"/>
        <v>3.8526788236873526</v>
      </c>
      <c r="AM20" s="31">
        <f ca="1"/>
        <v>20.428306460380554</v>
      </c>
      <c r="AN20" s="31">
        <v>2125</v>
      </c>
    </row>
    <row r="21" spans="3:40" ht="20.25" customHeight="1">
      <c r="V21" s="31">
        <v>6</v>
      </c>
      <c r="W21" s="31">
        <f ca="1"/>
        <v>9.0930742893437237</v>
      </c>
      <c r="X21" s="31">
        <f ca="1"/>
        <v>3.2718868586776602E-4</v>
      </c>
      <c r="Y21" s="31" t="b">
        <f ca="1"/>
        <v>1</v>
      </c>
      <c r="Z21" s="31">
        <f ca="1"/>
        <v>4.1918688533811812</v>
      </c>
      <c r="AA21" s="31">
        <f ca="1"/>
        <v>22.530391037464142</v>
      </c>
      <c r="AB21" s="31">
        <v>2550</v>
      </c>
      <c r="AF21" s="31">
        <v>6</v>
      </c>
      <c r="AG21" s="31">
        <f ca="1"/>
        <v>1.9938139746320437E-2</v>
      </c>
      <c r="AH21" s="31">
        <f ca="1"/>
        <v>554.11141563092099</v>
      </c>
      <c r="AI21" s="31">
        <v>151.71199999999999</v>
      </c>
      <c r="AJ21" s="31">
        <f ca="1"/>
        <v>0.69817294696863086</v>
      </c>
      <c r="AK21" s="31" t="b">
        <f ca="1"/>
        <v>1</v>
      </c>
      <c r="AL21" s="31">
        <f ca="1"/>
        <v>4.1918688533811812</v>
      </c>
      <c r="AM21" s="31">
        <f ca="1"/>
        <v>22.530391037464142</v>
      </c>
      <c r="AN21" s="31">
        <v>2550</v>
      </c>
    </row>
    <row r="22" spans="3:40" ht="20.25" customHeight="1">
      <c r="H22" s="31" t="s">
        <v>304</v>
      </c>
      <c r="V22" s="31">
        <v>7</v>
      </c>
      <c r="W22" s="31">
        <f ca="1"/>
        <v>8.6969086609712605</v>
      </c>
      <c r="X22" s="31">
        <f ca="1"/>
        <v>3.160622159143027E-4</v>
      </c>
      <c r="Y22" s="31" t="b">
        <f ca="1"/>
        <v>1</v>
      </c>
      <c r="Z22" s="31">
        <f ca="1"/>
        <v>3.6800674982426855</v>
      </c>
      <c r="AA22" s="31">
        <f ca="1"/>
        <v>22.45580792427063</v>
      </c>
      <c r="AB22" s="31">
        <v>2231.25</v>
      </c>
      <c r="AF22" s="31">
        <v>7</v>
      </c>
      <c r="AG22" s="31">
        <f ca="1"/>
        <v>1.9288028033551331E-2</v>
      </c>
      <c r="AH22" s="31">
        <f ca="1"/>
        <v>530.73796743718265</v>
      </c>
      <c r="AI22" s="31">
        <v>168.66399999999999</v>
      </c>
      <c r="AJ22" s="31">
        <f ca="1"/>
        <v>0.70907222224410016</v>
      </c>
      <c r="AK22" s="31" t="b">
        <f ca="1"/>
        <v>1</v>
      </c>
      <c r="AL22" s="31">
        <f ca="1"/>
        <v>3.6800674982426855</v>
      </c>
      <c r="AM22" s="31">
        <f ca="1"/>
        <v>22.45580792427063</v>
      </c>
      <c r="AN22" s="31">
        <v>2231.25</v>
      </c>
    </row>
    <row r="23" spans="3:40" ht="20.25" customHeight="1">
      <c r="I23" s="33" t="s">
        <v>264</v>
      </c>
      <c r="J23" s="32">
        <f>'C3'!E7</f>
        <v>4.9187071542673887E-7</v>
      </c>
      <c r="V23" s="31">
        <v>8</v>
      </c>
      <c r="W23" s="31">
        <f ca="1"/>
        <v>10.98779590101055</v>
      </c>
      <c r="X23" s="31">
        <f ca="1"/>
        <v>3.217585812530921E-4</v>
      </c>
      <c r="Y23" s="31" t="b">
        <f ca="1"/>
        <v>1</v>
      </c>
      <c r="Z23" s="31">
        <f ca="1"/>
        <v>3.9136774113022961</v>
      </c>
      <c r="AA23" s="31">
        <f ca="1"/>
        <v>24.13189297914505</v>
      </c>
      <c r="AB23" s="31">
        <v>2550</v>
      </c>
      <c r="AF23" s="31">
        <v>8</v>
      </c>
      <c r="AG23" s="31">
        <f ca="1"/>
        <v>1.9634748306216556E-2</v>
      </c>
      <c r="AH23" s="31">
        <f ca="1"/>
        <v>670.51081004959781</v>
      </c>
      <c r="AI23" s="31">
        <v>185.61599999999999</v>
      </c>
      <c r="AJ23" s="31">
        <f ca="1"/>
        <v>0.70591076669589925</v>
      </c>
      <c r="AK23" s="31" t="b">
        <f ca="1"/>
        <v>1</v>
      </c>
      <c r="AL23" s="31">
        <f ca="1"/>
        <v>3.9136774113022961</v>
      </c>
      <c r="AM23" s="31">
        <f ca="1"/>
        <v>24.13189297914505</v>
      </c>
      <c r="AN23" s="31">
        <v>2550</v>
      </c>
    </row>
    <row r="24" spans="3:40" ht="20.25" customHeight="1">
      <c r="I24" s="33" t="s">
        <v>263</v>
      </c>
      <c r="J24" s="32">
        <f>'C3'!E8</f>
        <v>-5.7022544557890257E-6</v>
      </c>
      <c r="V24" s="31">
        <v>9</v>
      </c>
      <c r="W24" s="31">
        <f ca="1"/>
        <v>10.736177084215379</v>
      </c>
      <c r="X24" s="31">
        <f ca="1"/>
        <v>3.1118681306554455E-4</v>
      </c>
      <c r="Y24" s="31" t="b">
        <f ca="1"/>
        <v>1</v>
      </c>
      <c r="Z24" s="31">
        <f ca="1"/>
        <v>3.5103050308955517</v>
      </c>
      <c r="AA24" s="31">
        <f ca="1"/>
        <v>24.214419901371002</v>
      </c>
      <c r="AB24" s="31">
        <v>2295</v>
      </c>
      <c r="AF24" s="31">
        <v>9</v>
      </c>
      <c r="AG24" s="31">
        <f ca="1"/>
        <v>1.8975599790783601E-2</v>
      </c>
      <c r="AH24" s="31">
        <f ca="1"/>
        <v>654.67234175550641</v>
      </c>
      <c r="AI24" s="31">
        <v>202.56799999999998</v>
      </c>
      <c r="AJ24" s="31">
        <f ca="1"/>
        <v>0.71011639006069216</v>
      </c>
      <c r="AK24" s="31" t="b">
        <f ca="1"/>
        <v>1</v>
      </c>
      <c r="AL24" s="31">
        <f ca="1"/>
        <v>3.5103050308955517</v>
      </c>
      <c r="AM24" s="31">
        <f ca="1"/>
        <v>24.214419901371002</v>
      </c>
      <c r="AN24" s="31">
        <v>2295</v>
      </c>
    </row>
    <row r="25" spans="3:40" ht="20.25" customHeight="1">
      <c r="I25" s="33" t="s">
        <v>262</v>
      </c>
      <c r="J25" s="32">
        <f>'C3'!E9</f>
        <v>1.2119606245939001E-5</v>
      </c>
      <c r="V25" s="31">
        <v>10</v>
      </c>
      <c r="W25" s="31">
        <f ca="1"/>
        <v>12.936877660170893</v>
      </c>
      <c r="X25" s="31">
        <f ca="1"/>
        <v>3.1618988367988841E-4</v>
      </c>
      <c r="Y25" s="31" t="b">
        <f ca="1"/>
        <v>1</v>
      </c>
      <c r="Z25" s="31">
        <f ca="1"/>
        <v>3.6848346742713982</v>
      </c>
      <c r="AA25" s="31">
        <f ca="1"/>
        <v>25.630578517913818</v>
      </c>
      <c r="AB25" s="31">
        <v>2550</v>
      </c>
      <c r="AF25" s="31">
        <v>10</v>
      </c>
      <c r="AG25" s="31">
        <f ca="1"/>
        <v>1.929604422836239E-2</v>
      </c>
      <c r="AH25" s="31">
        <f ca="1"/>
        <v>789.4957314962603</v>
      </c>
      <c r="AI25" s="31">
        <v>219.51999999999998</v>
      </c>
      <c r="AJ25" s="31">
        <f ca="1"/>
        <v>0.70902979923540177</v>
      </c>
      <c r="AK25" s="31" t="b">
        <f ca="1"/>
        <v>1</v>
      </c>
      <c r="AL25" s="31">
        <f ca="1"/>
        <v>3.6848346742713982</v>
      </c>
      <c r="AM25" s="31">
        <f ca="1"/>
        <v>25.630578517913818</v>
      </c>
      <c r="AN25" s="31">
        <v>2550</v>
      </c>
    </row>
    <row r="26" spans="3:40" ht="20.25" customHeight="1">
      <c r="I26" s="33" t="s">
        <v>256</v>
      </c>
      <c r="J26" s="32">
        <f>'C3'!E10</f>
        <v>7.1248610519614606E-5</v>
      </c>
    </row>
    <row r="27" spans="3:40" ht="20.25" customHeight="1">
      <c r="I27" s="33" t="s">
        <v>255</v>
      </c>
      <c r="J27" s="32">
        <f>'C3'!E11</f>
        <v>8.3707282174792975E-5</v>
      </c>
    </row>
    <row r="29" spans="3:40" ht="20.25" customHeight="1">
      <c r="I29" s="31" t="s">
        <v>537</v>
      </c>
      <c r="J29" s="32">
        <f>'C3'!E14</f>
        <v>1.832382785185185E-2</v>
      </c>
      <c r="K29" s="31" t="s">
        <v>5</v>
      </c>
    </row>
    <row r="30" spans="3:40" ht="20.25" customHeight="1">
      <c r="I30" s="31" t="s">
        <v>538</v>
      </c>
      <c r="J30" s="32">
        <f>'C3'!E15</f>
        <v>5.6987104604938272</v>
      </c>
      <c r="K30" s="31" t="s">
        <v>5</v>
      </c>
    </row>
  </sheetData>
  <sheetProtection algorithmName="SHA-512" hashValue="DAj5WUSrh08U71BxPjAaMgNX4v/teftE3eK64TembLwjCSozaKLkJoN9qvEpdjhTe6KXIYkdESkKlE3TQEbAdg==" saltValue="57qKo2X3r6s/JdKZwf7J+A==" spinCount="100000" sheet="1" objects="1" scenarios="1"/>
  <phoneticPr fontId="2"/>
  <conditionalFormatting sqref="Y16:Y25">
    <cfRule type="cellIs" dxfId="1" priority="2" operator="equal">
      <formula>FALSE</formula>
    </cfRule>
  </conditionalFormatting>
  <conditionalFormatting sqref="AK16:AK25">
    <cfRule type="cellIs" dxfId="0" priority="1" operator="equal">
      <formula>FALSE</formula>
    </cfRule>
  </conditionalFormatting>
  <dataValidations disablePrompts="1" count="1">
    <dataValidation type="list" allowBlank="1" showInputMessage="1" showErrorMessage="1" sqref="J7" xr:uid="{FFF1623E-B5CF-4956-BD71-4DD24EB21DE9}">
      <formula1>"軸動力,ポンプ効率"</formula1>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E8775-FDBE-4C89-83EA-C91CEA1D6F77}">
  <sheetPr codeName="Sheet21">
    <tabColor theme="0" tint="-0.499984740745262"/>
  </sheetPr>
  <dimension ref="A1:AD20"/>
  <sheetViews>
    <sheetView showGridLines="0" workbookViewId="0"/>
  </sheetViews>
  <sheetFormatPr defaultColWidth="3.375" defaultRowHeight="20.25" customHeight="1"/>
  <cols>
    <col min="1" max="2" width="3.375" style="31"/>
    <col min="3" max="3" width="5.25" style="31" bestFit="1" customWidth="1"/>
    <col min="4" max="4" width="13.75" style="31" bestFit="1" customWidth="1"/>
    <col min="5" max="7" width="3.375" style="31"/>
    <col min="8" max="8" width="17.25" style="31" bestFit="1" customWidth="1"/>
    <col min="9" max="9" width="6.125" style="31" bestFit="1" customWidth="1"/>
    <col min="10" max="10" width="4.5" style="31" bestFit="1" customWidth="1"/>
    <col min="11" max="11" width="2.375" style="31" bestFit="1" customWidth="1"/>
    <col min="12" max="13" width="3.375" style="31"/>
    <col min="14" max="14" width="5.25" style="31" bestFit="1" customWidth="1"/>
    <col min="15" max="15" width="12.75" style="31" bestFit="1" customWidth="1"/>
    <col min="16" max="18" width="3.375" style="31"/>
    <col min="19" max="19" width="5.25" style="31" bestFit="1" customWidth="1"/>
    <col min="20" max="21" width="12.75" style="31" bestFit="1" customWidth="1"/>
    <col min="22" max="23" width="3.375" style="31"/>
    <col min="24" max="29" width="7.5" style="31" customWidth="1"/>
    <col min="30" max="30" width="8.75" style="31" customWidth="1"/>
    <col min="31" max="16384" width="3.375" style="31"/>
  </cols>
  <sheetData>
    <row r="1" spans="1:30" s="40" customFormat="1" ht="20.25" customHeight="1">
      <c r="A1" s="40" t="s">
        <v>509</v>
      </c>
    </row>
    <row r="2" spans="1:30" s="40" customFormat="1" ht="30">
      <c r="B2" s="41" t="s">
        <v>330</v>
      </c>
    </row>
    <row r="3" spans="1:30" s="39" customFormat="1" ht="7.5" customHeight="1"/>
    <row r="5" spans="1:30" ht="20.25" customHeight="1">
      <c r="B5" s="31" t="s">
        <v>102</v>
      </c>
      <c r="F5" s="31" t="s">
        <v>101</v>
      </c>
      <c r="Q5" s="31" t="s">
        <v>303</v>
      </c>
    </row>
    <row r="6" spans="1:30" ht="20.25" customHeight="1">
      <c r="C6" s="37" t="s">
        <v>311</v>
      </c>
      <c r="D6" s="37" t="s">
        <v>321</v>
      </c>
      <c r="G6" s="31" t="s">
        <v>99</v>
      </c>
      <c r="M6" s="31" t="s">
        <v>318</v>
      </c>
      <c r="R6" s="31" t="s">
        <v>327</v>
      </c>
    </row>
    <row r="7" spans="1:30" ht="20.25" customHeight="1">
      <c r="C7" s="50" t="s">
        <v>305</v>
      </c>
      <c r="D7" s="35" t="s">
        <v>83</v>
      </c>
      <c r="H7" s="33" t="s">
        <v>326</v>
      </c>
      <c r="I7" s="31" t="s">
        <v>325</v>
      </c>
      <c r="J7" s="32">
        <v>0.9</v>
      </c>
      <c r="K7" s="31" t="s">
        <v>84</v>
      </c>
      <c r="N7" s="37" t="s">
        <v>311</v>
      </c>
      <c r="O7" s="37" t="s">
        <v>324</v>
      </c>
    </row>
    <row r="8" spans="1:30" ht="20.25" customHeight="1">
      <c r="C8" s="31" cm="1">
        <f t="array" ref="C8:C17">_xlfn.ANCHORARRAY(N9)</f>
        <v>1</v>
      </c>
      <c r="D8" s="31" cm="1">
        <f t="array" aca="1" ref="D8:D17" ca="1">_xlfn.ANCHORARRAY(T11)</f>
        <v>1.4199336605938995</v>
      </c>
      <c r="H8" s="33" t="s">
        <v>323</v>
      </c>
      <c r="I8" s="31" t="s">
        <v>322</v>
      </c>
      <c r="J8" s="32">
        <v>0.8</v>
      </c>
      <c r="K8" s="31" t="s">
        <v>84</v>
      </c>
      <c r="N8" s="50" t="s">
        <v>305</v>
      </c>
      <c r="O8" s="35" t="s">
        <v>83</v>
      </c>
    </row>
    <row r="9" spans="1:30" ht="20.25" customHeight="1">
      <c r="C9" s="31">
        <v>2</v>
      </c>
      <c r="D9" s="31">
        <f ca="1"/>
        <v>4.0355541284029783</v>
      </c>
      <c r="N9" s="31" cm="1">
        <f t="array" ref="N9:N18">_xlfn.SEQUENCE(10)</f>
        <v>1</v>
      </c>
      <c r="O9" s="32" cm="1">
        <f t="array" aca="1" ref="O9:O18" ca="1">_xlfn.ANCHORARRAY(E!D8)</f>
        <v>1.9721300841581935</v>
      </c>
      <c r="S9" s="37" t="s">
        <v>311</v>
      </c>
      <c r="T9" s="37" t="s">
        <v>321</v>
      </c>
      <c r="U9" s="47" t="s">
        <v>320</v>
      </c>
      <c r="X9" s="37"/>
      <c r="Y9" s="37"/>
      <c r="Z9" s="37"/>
      <c r="AA9" s="37"/>
      <c r="AB9" s="37"/>
    </row>
    <row r="10" spans="1:30" ht="20.25" customHeight="1">
      <c r="C10" s="31">
        <v>3</v>
      </c>
      <c r="D10" s="31">
        <f ca="1"/>
        <v>3.228876562826585</v>
      </c>
      <c r="N10" s="31">
        <v>2</v>
      </c>
      <c r="O10" s="32">
        <f ca="1"/>
        <v>5.604936289448581</v>
      </c>
      <c r="S10" s="50" t="s">
        <v>305</v>
      </c>
      <c r="T10" s="36" t="s">
        <v>83</v>
      </c>
      <c r="U10" s="35" t="s">
        <v>83</v>
      </c>
    </row>
    <row r="11" spans="1:30" ht="20.25" customHeight="1">
      <c r="C11" s="31">
        <v>4</v>
      </c>
      <c r="D11" s="31">
        <f ca="1"/>
        <v>5.2425595612709621</v>
      </c>
      <c r="N11" s="31">
        <v>3</v>
      </c>
      <c r="O11" s="32">
        <f ca="1"/>
        <v>4.4845507817035903</v>
      </c>
      <c r="S11" s="31" cm="1">
        <f t="array" ref="S11:S20">_xlfn.SEQUENCE(10)</f>
        <v>1</v>
      </c>
      <c r="T11" s="31" cm="1">
        <f t="array" aca="1" ref="T11:T20" ca="1">_xlfn.LET(
    _xlpm._W,_xlfn.ANCHORARRAY( U11),
    _xlpm._eta_I, J7,
    _xlpm._eta_M, J8,
    _xlpm._W * _xlpm._eta_I * _xlpm._eta_M
)</f>
        <v>1.4199336605938995</v>
      </c>
      <c r="U11" s="31" cm="1">
        <f t="array" aca="1" ref="U11:U20" ca="1">_xlfn.LET(
    _xlpm._W_input, O9:O1008,
    _xlpm._numbers_row, _xlfn.LET(
        _xlpm._tmp, _xlfn._xlws.SORT(
            _xlfn.UNIQUE(
                _xlfn.SEQUENCE(ROWS(_xlpm._W_input)) *
                    IFERROR(LEN(TRIM(_xlpm._W_input)) &gt; 0, TRUE)
            )
        ),
        IF(
            ROWS(_xlpm._tmp) = 1,
            IF(_xlpm._tmp = 0, NA(), _xlpm._tmp),
            _xlfn.UNIQUE(IF(_xlpm._tmp = 0, INDEX(_xlpm._tmp, 2), _xlpm._tmp))
        )
    ),
    IF(ISNA(_xlpm._numbers_row), {""}, _xlfn.CHOOSEROWS(_xlpm._W_input, _xlpm._numbers_row))
)</f>
        <v>1.9721300841581935</v>
      </c>
    </row>
    <row r="12" spans="1:30" ht="20.25" customHeight="1">
      <c r="C12" s="31">
        <v>5</v>
      </c>
      <c r="D12" s="31">
        <f ca="1"/>
        <v>4.7785821337184178</v>
      </c>
      <c r="N12" s="31">
        <v>4</v>
      </c>
      <c r="O12" s="32">
        <f ca="1"/>
        <v>7.2813327239874477</v>
      </c>
      <c r="S12" s="31">
        <v>2</v>
      </c>
      <c r="T12" s="31">
        <f ca="1"/>
        <v>4.0355541284029783</v>
      </c>
      <c r="U12" s="31">
        <f ca="1"/>
        <v>5.604936289448581</v>
      </c>
    </row>
    <row r="13" spans="1:30" ht="20.25" customHeight="1">
      <c r="C13" s="31">
        <v>6</v>
      </c>
      <c r="D13" s="31">
        <f ca="1"/>
        <v>6.5470134883274813</v>
      </c>
      <c r="N13" s="31">
        <v>5</v>
      </c>
      <c r="O13" s="32">
        <f ca="1"/>
        <v>6.6369196301644688</v>
      </c>
      <c r="S13" s="31">
        <v>3</v>
      </c>
      <c r="T13" s="31">
        <f ca="1"/>
        <v>3.228876562826585</v>
      </c>
      <c r="U13" s="31">
        <f ca="1"/>
        <v>4.4845507817035903</v>
      </c>
      <c r="X13" s="47"/>
      <c r="Y13" s="47"/>
      <c r="Z13" s="47"/>
      <c r="AA13" s="47"/>
      <c r="AB13" s="47"/>
      <c r="AC13" s="47"/>
      <c r="AD13" s="47"/>
    </row>
    <row r="14" spans="1:30" ht="20.25" customHeight="1">
      <c r="C14" s="31">
        <v>7</v>
      </c>
      <c r="D14" s="31">
        <f ca="1"/>
        <v>6.261774235899308</v>
      </c>
      <c r="N14" s="31">
        <v>6</v>
      </c>
      <c r="O14" s="32">
        <f ca="1"/>
        <v>9.0930742893437237</v>
      </c>
      <c r="S14" s="31">
        <v>4</v>
      </c>
      <c r="T14" s="31">
        <f ca="1"/>
        <v>5.2425595612709621</v>
      </c>
      <c r="U14" s="31">
        <f ca="1"/>
        <v>7.2813327239874477</v>
      </c>
    </row>
    <row r="15" spans="1:30" ht="20.25" customHeight="1">
      <c r="C15" s="31">
        <v>8</v>
      </c>
      <c r="D15" s="31">
        <f ca="1"/>
        <v>7.9112130487275962</v>
      </c>
      <c r="N15" s="31">
        <v>7</v>
      </c>
      <c r="O15" s="32">
        <f ca="1"/>
        <v>8.6969086609712605</v>
      </c>
      <c r="S15" s="31">
        <v>5</v>
      </c>
      <c r="T15" s="31">
        <f ca="1"/>
        <v>4.7785821337184178</v>
      </c>
      <c r="U15" s="31">
        <f ca="1"/>
        <v>6.6369196301644688</v>
      </c>
    </row>
    <row r="16" spans="1:30" ht="20.25" customHeight="1">
      <c r="C16" s="31">
        <v>9</v>
      </c>
      <c r="D16" s="31">
        <f ca="1"/>
        <v>7.7300475006350737</v>
      </c>
      <c r="N16" s="31">
        <v>8</v>
      </c>
      <c r="O16" s="32">
        <f ca="1"/>
        <v>10.98779590101055</v>
      </c>
      <c r="S16" s="31">
        <v>6</v>
      </c>
      <c r="T16" s="31">
        <f ca="1"/>
        <v>6.5470134883274813</v>
      </c>
      <c r="U16" s="31">
        <f ca="1"/>
        <v>9.0930742893437237</v>
      </c>
    </row>
    <row r="17" spans="3:21" ht="20.25" customHeight="1">
      <c r="C17" s="31">
        <v>10</v>
      </c>
      <c r="D17" s="31">
        <f ca="1"/>
        <v>9.3145519153230438</v>
      </c>
      <c r="N17" s="31">
        <v>9</v>
      </c>
      <c r="O17" s="32">
        <f ca="1"/>
        <v>10.736177084215379</v>
      </c>
      <c r="S17" s="31">
        <v>7</v>
      </c>
      <c r="T17" s="31">
        <f ca="1"/>
        <v>6.261774235899308</v>
      </c>
      <c r="U17" s="31">
        <f ca="1"/>
        <v>8.6969086609712605</v>
      </c>
    </row>
    <row r="18" spans="3:21" ht="20.25" customHeight="1">
      <c r="N18" s="31">
        <v>10</v>
      </c>
      <c r="O18" s="32">
        <f ca="1"/>
        <v>12.936877660170893</v>
      </c>
      <c r="S18" s="31">
        <v>8</v>
      </c>
      <c r="T18" s="31">
        <f ca="1"/>
        <v>7.9112130487275962</v>
      </c>
      <c r="U18" s="31">
        <f ca="1"/>
        <v>10.98779590101055</v>
      </c>
    </row>
    <row r="19" spans="3:21" ht="20.25" customHeight="1">
      <c r="S19" s="31">
        <v>9</v>
      </c>
      <c r="T19" s="31">
        <f ca="1"/>
        <v>7.7300475006350737</v>
      </c>
      <c r="U19" s="31">
        <f ca="1"/>
        <v>10.736177084215379</v>
      </c>
    </row>
    <row r="20" spans="3:21" ht="20.25" customHeight="1">
      <c r="S20" s="31">
        <v>10</v>
      </c>
      <c r="T20" s="31">
        <f ca="1"/>
        <v>9.3145519153230438</v>
      </c>
      <c r="U20" s="31">
        <f ca="1"/>
        <v>12.936877660170893</v>
      </c>
    </row>
  </sheetData>
  <sheetProtection algorithmName="SHA-512" hashValue="XEeor/RN7lJFFjIi7ZbGyWLjLXAZwO6jUdgr8sukIqezjWd6zGs6gX9dNeEv9DlEY2zgXHFLWOTMgmIgnlzpYg==" saltValue="NUOfo5iyc3B8EoaqHT2lmg==" spinCount="100000" sheet="1" objects="1" scenarios="1"/>
  <phoneticPr fontId="2"/>
  <conditionalFormatting sqref="AD14:AD36">
    <cfRule type="dataBar" priority="1">
      <dataBar>
        <cfvo type="min"/>
        <cfvo type="max"/>
        <color rgb="FF638EC6"/>
      </dataBar>
      <extLst>
        <ext xmlns:x14="http://schemas.microsoft.com/office/spreadsheetml/2009/9/main" uri="{B025F937-C7B1-47D3-B67F-A62EFF666E3E}">
          <x14:id>{40F648FA-B9C1-4015-97B2-CF0E309BCB0D}</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40F648FA-B9C1-4015-97B2-CF0E309BCB0D}">
            <x14:dataBar minLength="0" maxLength="100" border="1" negativeBarBorderColorSameAsPositive="0">
              <x14:cfvo type="autoMin"/>
              <x14:cfvo type="autoMax"/>
              <x14:borderColor rgb="FF638EC6"/>
              <x14:negativeFillColor rgb="FFFF0000"/>
              <x14:negativeBorderColor rgb="FFFF0000"/>
              <x14:axisColor rgb="FF000000"/>
            </x14:dataBar>
          </x14:cfRule>
          <xm:sqref>AD14:AD36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2A8F2-ABD3-48FC-B022-4BE3E25907DC}">
  <sheetPr codeName="Sheet3">
    <tabColor rgb="FFFFFFCC"/>
  </sheetPr>
  <dimension ref="A1:T1008"/>
  <sheetViews>
    <sheetView showGridLines="0" showRowColHeaders="0" workbookViewId="0">
      <pane ySplit="3" topLeftCell="A4" activePane="bottomLeft" state="frozen"/>
      <selection pane="bottomLeft" activeCell="A4" sqref="A4"/>
    </sheetView>
  </sheetViews>
  <sheetFormatPr defaultColWidth="3.375" defaultRowHeight="20.25" customHeight="1"/>
  <cols>
    <col min="4" max="4" width="20.125" bestFit="1" customWidth="1"/>
    <col min="5" max="10" width="10" customWidth="1"/>
    <col min="15" max="15" width="11" bestFit="1" customWidth="1"/>
    <col min="16" max="18" width="11" customWidth="1"/>
    <col min="20" max="20" width="3.25" bestFit="1" customWidth="1"/>
  </cols>
  <sheetData>
    <row r="1" spans="1:20" s="71" customFormat="1" ht="20.25" customHeight="1">
      <c r="A1" s="73" t="s">
        <v>670</v>
      </c>
    </row>
    <row r="2" spans="1:20" s="71" customFormat="1" ht="30">
      <c r="A2" s="72" t="s">
        <v>405</v>
      </c>
    </row>
    <row r="3" spans="1:20" s="69" customFormat="1" ht="7.5" customHeight="1"/>
    <row r="5" spans="1:20" ht="20.25" customHeight="1">
      <c r="B5" s="70" t="s">
        <v>380</v>
      </c>
      <c r="L5" s="70" t="s">
        <v>381</v>
      </c>
    </row>
    <row r="7" spans="1:20" ht="20.25" customHeight="1">
      <c r="E7" s="281" t="s">
        <v>363</v>
      </c>
      <c r="F7" s="281"/>
      <c r="G7" s="281"/>
      <c r="H7" s="281"/>
      <c r="I7" s="281"/>
      <c r="J7" s="281"/>
      <c r="Q7" s="68" t="s">
        <v>383</v>
      </c>
      <c r="R7" s="89">
        <v>1</v>
      </c>
    </row>
    <row r="8" spans="1:20" ht="20.25" customHeight="1">
      <c r="E8" s="282">
        <v>1</v>
      </c>
      <c r="F8" s="282"/>
      <c r="G8" s="282">
        <v>2</v>
      </c>
      <c r="H8" s="282"/>
      <c r="I8" s="282">
        <v>3</v>
      </c>
      <c r="J8" s="282"/>
      <c r="Q8" s="68" t="s">
        <v>384</v>
      </c>
      <c r="R8" s="89">
        <v>2</v>
      </c>
    </row>
    <row r="9" spans="1:20" ht="20.25" customHeight="1">
      <c r="C9" s="276" t="s">
        <v>362</v>
      </c>
      <c r="D9" s="60" t="s">
        <v>364</v>
      </c>
      <c r="E9" s="90" t="s">
        <v>709</v>
      </c>
      <c r="F9" s="91" t="s">
        <v>624</v>
      </c>
      <c r="G9" s="91" t="s">
        <v>623</v>
      </c>
      <c r="H9" s="91" t="s">
        <v>625</v>
      </c>
      <c r="I9" s="91" t="s">
        <v>623</v>
      </c>
      <c r="J9" s="92" t="s">
        <v>626</v>
      </c>
      <c r="Q9" s="68" t="s">
        <v>385</v>
      </c>
      <c r="R9" s="89">
        <v>3</v>
      </c>
    </row>
    <row r="10" spans="1:20" ht="20.25" customHeight="1">
      <c r="C10" s="277"/>
      <c r="D10" s="60" t="s">
        <v>365</v>
      </c>
      <c r="E10" s="136">
        <v>14.84230056</v>
      </c>
      <c r="F10" s="137">
        <v>44.423963129999997</v>
      </c>
      <c r="G10" s="137">
        <v>0</v>
      </c>
      <c r="H10" s="137">
        <v>-0.55813953500000002</v>
      </c>
      <c r="I10" s="137">
        <v>14.84230056</v>
      </c>
      <c r="J10" s="138">
        <v>5.6744186049999996</v>
      </c>
      <c r="Q10" s="68"/>
      <c r="T10" s="59"/>
    </row>
    <row r="11" spans="1:20" ht="20.25" customHeight="1">
      <c r="C11" s="277"/>
      <c r="D11" s="60">
        <v>3</v>
      </c>
      <c r="E11" s="136">
        <v>163.2653061</v>
      </c>
      <c r="F11" s="137">
        <v>44.516129030000002</v>
      </c>
      <c r="G11" s="137">
        <v>66.790352499999997</v>
      </c>
      <c r="H11" s="137">
        <v>5.3953488370000002</v>
      </c>
      <c r="I11" s="137">
        <v>126.1595547</v>
      </c>
      <c r="J11" s="138">
        <v>6.2325581400000001</v>
      </c>
      <c r="T11" s="59"/>
    </row>
    <row r="12" spans="1:20" ht="20.25" customHeight="1">
      <c r="C12" s="277"/>
      <c r="D12" s="60">
        <v>4</v>
      </c>
      <c r="E12" s="136">
        <v>326.53061220000001</v>
      </c>
      <c r="F12" s="137">
        <v>44.33179724</v>
      </c>
      <c r="G12" s="137">
        <v>126.1595547</v>
      </c>
      <c r="H12" s="137">
        <v>10.23255814</v>
      </c>
      <c r="I12" s="137">
        <v>267.16140999999999</v>
      </c>
      <c r="J12" s="138">
        <v>7.1627906980000002</v>
      </c>
      <c r="L12" s="70" t="s">
        <v>382</v>
      </c>
      <c r="T12" s="59"/>
    </row>
    <row r="13" spans="1:20" ht="20.25" customHeight="1">
      <c r="C13" s="207"/>
      <c r="D13" s="60">
        <v>5</v>
      </c>
      <c r="E13" s="136">
        <v>482.37476809999998</v>
      </c>
      <c r="F13" s="137">
        <v>44.423963129999997</v>
      </c>
      <c r="G13" s="137">
        <v>185.52875700000001</v>
      </c>
      <c r="H13" s="137">
        <v>14.51162791</v>
      </c>
      <c r="I13" s="137">
        <v>385.89981449999999</v>
      </c>
      <c r="J13" s="138">
        <v>7.6279069770000003</v>
      </c>
      <c r="T13" s="59"/>
    </row>
    <row r="14" spans="1:20" ht="20.25" customHeight="1">
      <c r="C14" s="207"/>
      <c r="D14" s="60">
        <v>6</v>
      </c>
      <c r="E14" s="136">
        <v>667.90352499999995</v>
      </c>
      <c r="F14" s="137">
        <v>43.963133640000002</v>
      </c>
      <c r="G14" s="137">
        <v>237.47680890000001</v>
      </c>
      <c r="H14" s="137">
        <v>18.79069767</v>
      </c>
      <c r="I14" s="137">
        <v>526.90166980000004</v>
      </c>
      <c r="J14" s="138">
        <v>8.7441860469999995</v>
      </c>
      <c r="O14" s="67" t="str" cm="1">
        <f t="array" ref="O14">"流量[" &amp; INDEX(O16:O20,O15)&amp;"]"</f>
        <v>流量[L/s]</v>
      </c>
      <c r="P14" s="67" t="str" cm="1">
        <f t="array" ref="P14">"圧力[" &amp; INDEX(P16:P20,P15)&amp;"]"</f>
        <v>圧力[m]</v>
      </c>
      <c r="Q14" s="67" t="str" cm="1">
        <f t="array" ref="Q14">"効率[" &amp; INDEX(Q16:Q20,Q15)&amp;"]"</f>
        <v>効率[%]</v>
      </c>
      <c r="R14" s="67" t="str" cm="1">
        <f t="array" ref="R14">"軸動力[" &amp; INDEX(R16:R20,R15)&amp;"]"</f>
        <v>軸動力[kW]</v>
      </c>
    </row>
    <row r="15" spans="1:20" ht="20.25" customHeight="1">
      <c r="C15" s="207"/>
      <c r="D15" s="60">
        <v>7</v>
      </c>
      <c r="E15" s="136">
        <v>823.74768089999998</v>
      </c>
      <c r="F15" s="137">
        <v>43.502304150000001</v>
      </c>
      <c r="G15" s="137">
        <v>304.26716140000002</v>
      </c>
      <c r="H15" s="137">
        <v>23.25581395</v>
      </c>
      <c r="I15" s="137">
        <v>675.32467529999997</v>
      </c>
      <c r="J15" s="138">
        <v>9.7674418599999999</v>
      </c>
      <c r="O15" s="93">
        <v>5</v>
      </c>
      <c r="P15" s="93">
        <v>4</v>
      </c>
      <c r="Q15" s="93">
        <v>2</v>
      </c>
      <c r="R15" s="93">
        <v>1</v>
      </c>
      <c r="T15" s="59"/>
    </row>
    <row r="16" spans="1:20" ht="20.25" customHeight="1">
      <c r="C16" s="207"/>
      <c r="D16" s="60">
        <v>8</v>
      </c>
      <c r="E16" s="136">
        <v>935.06493509999996</v>
      </c>
      <c r="F16" s="137">
        <v>43.133640550000003</v>
      </c>
      <c r="G16" s="137">
        <v>378.47866420000003</v>
      </c>
      <c r="H16" s="137">
        <v>29.581395350000001</v>
      </c>
      <c r="I16" s="137">
        <v>816.32653059999996</v>
      </c>
      <c r="J16" s="138">
        <v>10.69767442</v>
      </c>
      <c r="M16" s="278" t="s">
        <v>379</v>
      </c>
      <c r="N16" s="64">
        <v>1</v>
      </c>
      <c r="O16" s="61" t="s">
        <v>372</v>
      </c>
      <c r="P16" s="61" t="s">
        <v>369</v>
      </c>
      <c r="Q16" s="61" t="s">
        <v>375</v>
      </c>
      <c r="R16" s="61" t="s">
        <v>377</v>
      </c>
      <c r="T16" s="59"/>
    </row>
    <row r="17" spans="3:20" ht="20.25" customHeight="1">
      <c r="C17" s="207"/>
      <c r="D17" s="60">
        <v>9</v>
      </c>
      <c r="E17" s="136">
        <v>1046.3821889999999</v>
      </c>
      <c r="F17" s="137">
        <v>42.764976959999998</v>
      </c>
      <c r="G17" s="137">
        <v>482.37476809999998</v>
      </c>
      <c r="H17" s="137">
        <v>36.465116279999997</v>
      </c>
      <c r="I17" s="137">
        <v>979.59183670000004</v>
      </c>
      <c r="J17" s="138">
        <v>11.627906980000001</v>
      </c>
      <c r="M17" s="279"/>
      <c r="N17" s="65">
        <v>2</v>
      </c>
      <c r="O17" s="62" t="s">
        <v>373</v>
      </c>
      <c r="P17" s="62" t="s">
        <v>370</v>
      </c>
      <c r="Q17" s="62" t="s">
        <v>376</v>
      </c>
      <c r="R17" s="62" t="s">
        <v>378</v>
      </c>
      <c r="T17" s="59"/>
    </row>
    <row r="18" spans="3:20" ht="20.25" customHeight="1">
      <c r="C18" s="207"/>
      <c r="D18" s="60">
        <v>10</v>
      </c>
      <c r="E18" s="136">
        <v>1179.962894</v>
      </c>
      <c r="F18" s="137">
        <v>42.027649769999996</v>
      </c>
      <c r="G18" s="137">
        <v>578.84972170000003</v>
      </c>
      <c r="H18" s="137">
        <v>41.860465120000001</v>
      </c>
      <c r="I18" s="137">
        <v>1105.751391</v>
      </c>
      <c r="J18" s="138">
        <v>12.651162790000001</v>
      </c>
      <c r="M18" s="279"/>
      <c r="N18" s="65">
        <v>3</v>
      </c>
      <c r="O18" s="62" t="s">
        <v>366</v>
      </c>
      <c r="P18" s="62" t="s">
        <v>374</v>
      </c>
      <c r="Q18" s="62"/>
      <c r="R18" s="62"/>
      <c r="T18" s="59"/>
    </row>
    <row r="19" spans="3:20" ht="20.25" customHeight="1">
      <c r="C19" s="207"/>
      <c r="D19" s="60">
        <v>11</v>
      </c>
      <c r="E19" s="136">
        <v>1350.649351</v>
      </c>
      <c r="F19" s="137">
        <v>41.198156679999997</v>
      </c>
      <c r="G19" s="137">
        <v>697.58812620000003</v>
      </c>
      <c r="H19" s="137">
        <v>48.93023256</v>
      </c>
      <c r="I19" s="137">
        <v>1269.0166979999999</v>
      </c>
      <c r="J19" s="138">
        <v>13.48837209</v>
      </c>
      <c r="M19" s="279"/>
      <c r="N19" s="65">
        <v>4</v>
      </c>
      <c r="O19" s="62" t="s">
        <v>367</v>
      </c>
      <c r="P19" s="62" t="s">
        <v>371</v>
      </c>
      <c r="Q19" s="62"/>
      <c r="R19" s="62"/>
      <c r="T19" s="59"/>
    </row>
    <row r="20" spans="3:20" ht="20.25" customHeight="1">
      <c r="C20" s="207"/>
      <c r="D20" s="60">
        <v>12</v>
      </c>
      <c r="E20" s="136">
        <v>1528.7569570000001</v>
      </c>
      <c r="F20" s="137">
        <v>40.092165899999998</v>
      </c>
      <c r="G20" s="137">
        <v>764.37847869999996</v>
      </c>
      <c r="H20" s="137">
        <v>51.906976739999998</v>
      </c>
      <c r="I20" s="137">
        <v>1461.9666050000001</v>
      </c>
      <c r="J20" s="138">
        <v>14.60465116</v>
      </c>
      <c r="M20" s="280"/>
      <c r="N20" s="66">
        <v>5</v>
      </c>
      <c r="O20" s="63" t="s">
        <v>368</v>
      </c>
      <c r="P20" s="63"/>
      <c r="Q20" s="63"/>
      <c r="R20" s="63"/>
    </row>
    <row r="21" spans="3:20" ht="20.25" customHeight="1">
      <c r="C21" s="207"/>
      <c r="D21" s="60">
        <v>13</v>
      </c>
      <c r="E21" s="136">
        <v>1721.7068650000001</v>
      </c>
      <c r="F21" s="137">
        <v>38.986175119999999</v>
      </c>
      <c r="G21" s="137">
        <v>831.1688312</v>
      </c>
      <c r="H21" s="137">
        <v>54.139534879999999</v>
      </c>
      <c r="I21" s="137">
        <v>1632.653061</v>
      </c>
      <c r="J21" s="138">
        <v>15.627906980000001</v>
      </c>
    </row>
    <row r="22" spans="3:20" ht="20.25" customHeight="1">
      <c r="C22" s="207"/>
      <c r="D22" s="60">
        <v>14</v>
      </c>
      <c r="E22" s="136">
        <v>1870.12987</v>
      </c>
      <c r="F22" s="137">
        <v>37.972350230000004</v>
      </c>
      <c r="G22" s="137">
        <v>890.53803340000002</v>
      </c>
      <c r="H22" s="137">
        <v>56.186046509999997</v>
      </c>
      <c r="I22" s="137">
        <v>1803.339518</v>
      </c>
      <c r="J22" s="138">
        <v>16.74418605</v>
      </c>
    </row>
    <row r="23" spans="3:20" ht="20.25" customHeight="1">
      <c r="C23" s="207"/>
      <c r="D23" s="60">
        <v>15</v>
      </c>
      <c r="E23" s="136">
        <v>2063.0797769999999</v>
      </c>
      <c r="F23" s="137">
        <v>37.050691239999999</v>
      </c>
      <c r="G23" s="137">
        <v>949.90723560000004</v>
      </c>
      <c r="H23" s="137">
        <v>58.046511629999998</v>
      </c>
      <c r="I23" s="137">
        <v>1966.604824</v>
      </c>
      <c r="J23" s="138">
        <v>17.302325580000002</v>
      </c>
    </row>
    <row r="24" spans="3:20" ht="20.25" customHeight="1">
      <c r="C24" s="207"/>
      <c r="D24" s="60">
        <v>16</v>
      </c>
      <c r="E24" s="136">
        <v>2211.5027829999999</v>
      </c>
      <c r="F24" s="137">
        <v>35.94470046</v>
      </c>
      <c r="G24" s="137">
        <v>1024.1187379999999</v>
      </c>
      <c r="H24" s="137">
        <v>59.534883720000003</v>
      </c>
      <c r="I24" s="137">
        <v>2159.5547310000002</v>
      </c>
      <c r="J24" s="138">
        <v>18.139534879999999</v>
      </c>
    </row>
    <row r="25" spans="3:20" ht="20.25" customHeight="1">
      <c r="C25" s="207"/>
      <c r="D25" s="60">
        <v>17</v>
      </c>
      <c r="E25" s="136">
        <v>2404.4526900000001</v>
      </c>
      <c r="F25" s="137">
        <v>34.562211980000001</v>
      </c>
      <c r="G25" s="137">
        <v>1135.4359930000001</v>
      </c>
      <c r="H25" s="137">
        <v>60.651162790000001</v>
      </c>
      <c r="I25" s="137">
        <v>2322.820037</v>
      </c>
      <c r="J25" s="138">
        <v>18.79069767</v>
      </c>
    </row>
    <row r="26" spans="3:20" ht="20.25" customHeight="1">
      <c r="C26" s="207"/>
      <c r="D26" s="60">
        <v>18</v>
      </c>
      <c r="E26" s="136">
        <v>2619.666048</v>
      </c>
      <c r="F26" s="137">
        <v>33.179723500000001</v>
      </c>
      <c r="G26" s="137">
        <v>1261.5955469999999</v>
      </c>
      <c r="H26" s="137">
        <v>62.883720930000003</v>
      </c>
      <c r="I26" s="137">
        <v>2463.8218919999999</v>
      </c>
      <c r="J26" s="138">
        <v>19.06976744</v>
      </c>
    </row>
    <row r="27" spans="3:20" ht="20.25" customHeight="1">
      <c r="C27" s="207"/>
      <c r="D27" s="60">
        <v>19</v>
      </c>
      <c r="E27" s="136">
        <v>2812.6159550000002</v>
      </c>
      <c r="F27" s="137">
        <v>31.981566820000001</v>
      </c>
      <c r="G27" s="137">
        <v>1395.176252</v>
      </c>
      <c r="H27" s="137">
        <v>63.627906979999999</v>
      </c>
      <c r="I27" s="137">
        <v>2589.9814470000001</v>
      </c>
      <c r="J27" s="138">
        <v>19.813953489999999</v>
      </c>
    </row>
    <row r="28" spans="3:20" ht="20.25" customHeight="1">
      <c r="C28" s="207"/>
      <c r="D28" s="60">
        <v>20</v>
      </c>
      <c r="E28" s="136">
        <v>2953.6178110000001</v>
      </c>
      <c r="F28" s="137">
        <v>31.05990783</v>
      </c>
      <c r="G28" s="137">
        <v>1521.3358069999999</v>
      </c>
      <c r="H28" s="137">
        <v>65.302325580000002</v>
      </c>
      <c r="I28" s="137">
        <v>2701.2987010000002</v>
      </c>
      <c r="J28" s="138">
        <v>20.093023259999999</v>
      </c>
    </row>
    <row r="29" spans="3:20" ht="20.25" customHeight="1">
      <c r="C29" s="207"/>
      <c r="D29" s="60">
        <v>21</v>
      </c>
      <c r="E29" s="136">
        <v>3072.3562149999998</v>
      </c>
      <c r="F29" s="137">
        <v>30.046082949999999</v>
      </c>
      <c r="G29" s="137">
        <v>1684.6011129999999</v>
      </c>
      <c r="H29" s="137">
        <v>66.79069767</v>
      </c>
      <c r="I29" s="137">
        <v>2812.6159550000002</v>
      </c>
      <c r="J29" s="138">
        <v>20.27906977</v>
      </c>
    </row>
    <row r="30" spans="3:20" ht="20.25" customHeight="1">
      <c r="C30" s="207"/>
      <c r="D30" s="60">
        <v>22</v>
      </c>
      <c r="E30" s="136">
        <v>3191.0946199999998</v>
      </c>
      <c r="F30" s="137">
        <v>29.124423960000001</v>
      </c>
      <c r="G30" s="137">
        <v>1833.0241189999999</v>
      </c>
      <c r="H30" s="137">
        <v>68.093023259999995</v>
      </c>
      <c r="I30" s="137">
        <v>2961.0389610000002</v>
      </c>
      <c r="J30" s="138">
        <v>20.651162790000001</v>
      </c>
    </row>
    <row r="31" spans="3:20" ht="20.25" customHeight="1">
      <c r="C31" s="207"/>
      <c r="D31" s="60">
        <v>23</v>
      </c>
      <c r="E31" s="136">
        <v>3361.7810760000002</v>
      </c>
      <c r="F31" s="137">
        <v>28.11059908</v>
      </c>
      <c r="G31" s="137">
        <v>1974.0259739999999</v>
      </c>
      <c r="H31" s="137">
        <v>68.837209299999998</v>
      </c>
      <c r="I31" s="137">
        <v>3116.8831169999999</v>
      </c>
      <c r="J31" s="138">
        <v>21.023255809999998</v>
      </c>
    </row>
    <row r="32" spans="3:20" ht="20.25" customHeight="1">
      <c r="C32" s="207"/>
      <c r="D32" s="60">
        <v>24</v>
      </c>
      <c r="E32" s="136">
        <v>3465.6771800000001</v>
      </c>
      <c r="F32" s="137">
        <v>27.00460829</v>
      </c>
      <c r="G32" s="137">
        <v>2129.8701299999998</v>
      </c>
      <c r="H32" s="137">
        <v>69.395348839999997</v>
      </c>
      <c r="I32" s="137">
        <v>3287.5695730000002</v>
      </c>
      <c r="J32" s="138">
        <v>21.302325580000002</v>
      </c>
    </row>
    <row r="33" spans="3:10" ht="20.25" customHeight="1">
      <c r="C33" s="207"/>
      <c r="D33" s="60">
        <v>25</v>
      </c>
      <c r="E33" s="136">
        <v>3569.5732840000001</v>
      </c>
      <c r="F33" s="137">
        <v>25.898617510000001</v>
      </c>
      <c r="G33" s="137">
        <v>2300.5565860000002</v>
      </c>
      <c r="H33" s="137">
        <v>70.697674419999998</v>
      </c>
      <c r="I33" s="137">
        <v>3480.5194809999998</v>
      </c>
      <c r="J33" s="138">
        <v>21.488372089999999</v>
      </c>
    </row>
    <row r="34" spans="3:10" ht="20.25" customHeight="1">
      <c r="C34" s="207"/>
      <c r="D34" s="60">
        <v>26</v>
      </c>
      <c r="E34" s="136">
        <v>3703.1539889999999</v>
      </c>
      <c r="F34" s="137">
        <v>24.60829493</v>
      </c>
      <c r="G34" s="137">
        <v>2463.8218919999999</v>
      </c>
      <c r="H34" s="137">
        <v>71.069767440000007</v>
      </c>
      <c r="I34" s="137">
        <v>3643.7847870000001</v>
      </c>
      <c r="J34" s="138">
        <v>21.767441860000002</v>
      </c>
    </row>
    <row r="35" spans="3:10" ht="20.25" customHeight="1">
      <c r="C35" s="207"/>
      <c r="D35" s="60">
        <v>27</v>
      </c>
      <c r="E35" s="136">
        <v>3836.7346940000002</v>
      </c>
      <c r="F35" s="137">
        <v>23.317972350000002</v>
      </c>
      <c r="G35" s="137">
        <v>2619.666048</v>
      </c>
      <c r="H35" s="137">
        <v>71.813953490000003</v>
      </c>
      <c r="I35" s="137">
        <v>3784.786642</v>
      </c>
      <c r="J35" s="138">
        <v>21.953488369999999</v>
      </c>
    </row>
    <row r="36" spans="3:10" ht="20.25" customHeight="1">
      <c r="C36" s="207"/>
      <c r="D36" s="60">
        <v>28</v>
      </c>
      <c r="E36" s="136">
        <v>3962.8942489999999</v>
      </c>
      <c r="F36" s="137">
        <v>22.119815670000001</v>
      </c>
      <c r="G36" s="137">
        <v>2745.8256029999998</v>
      </c>
      <c r="H36" s="137">
        <v>72</v>
      </c>
      <c r="I36" s="137">
        <v>3955.4730979999999</v>
      </c>
      <c r="J36" s="138">
        <v>22.139534879999999</v>
      </c>
    </row>
    <row r="37" spans="3:10" ht="20.25" customHeight="1">
      <c r="C37" s="207"/>
      <c r="D37" s="60">
        <v>29</v>
      </c>
      <c r="E37" s="136">
        <v>4103.8961040000004</v>
      </c>
      <c r="F37" s="137">
        <v>20.460829489999998</v>
      </c>
      <c r="G37" s="137">
        <v>2916.5120590000001</v>
      </c>
      <c r="H37" s="137">
        <v>72.372093019999994</v>
      </c>
      <c r="I37" s="137">
        <v>4141.0018550000004</v>
      </c>
      <c r="J37" s="138">
        <v>22.232558139999998</v>
      </c>
    </row>
    <row r="38" spans="3:10" ht="20.25" customHeight="1">
      <c r="C38" s="207"/>
      <c r="D38" s="60">
        <v>30</v>
      </c>
      <c r="E38" s="136">
        <v>4207.7922079999998</v>
      </c>
      <c r="F38" s="137">
        <v>19.17050691</v>
      </c>
      <c r="G38" s="137">
        <v>3072.3562149999998</v>
      </c>
      <c r="H38" s="137">
        <v>72.372093019999994</v>
      </c>
      <c r="I38" s="137">
        <v>4267.1614099999997</v>
      </c>
      <c r="J38" s="138">
        <v>22.325581400000001</v>
      </c>
    </row>
    <row r="39" spans="3:10" ht="20.25" customHeight="1">
      <c r="C39" s="207"/>
      <c r="D39" s="60">
        <v>31</v>
      </c>
      <c r="E39" s="136">
        <v>4296.8460109999996</v>
      </c>
      <c r="F39" s="137">
        <v>18.064516130000001</v>
      </c>
      <c r="G39" s="137">
        <v>3198.51577</v>
      </c>
      <c r="H39" s="137">
        <v>71.813953490000003</v>
      </c>
      <c r="I39" s="137">
        <v>4408.1632650000001</v>
      </c>
      <c r="J39" s="138">
        <v>22.60465116</v>
      </c>
    </row>
    <row r="40" spans="3:10" ht="20.25" customHeight="1">
      <c r="C40" s="207"/>
      <c r="D40" s="60">
        <v>32</v>
      </c>
      <c r="E40" s="136">
        <v>4371.0575140000001</v>
      </c>
      <c r="F40" s="137">
        <v>17.14285714</v>
      </c>
      <c r="G40" s="137">
        <v>3302.4118739999999</v>
      </c>
      <c r="H40" s="137">
        <v>71.255813950000004</v>
      </c>
      <c r="I40" s="137">
        <v>4541.7439700000004</v>
      </c>
      <c r="J40" s="138">
        <v>22.697674419999998</v>
      </c>
    </row>
    <row r="41" spans="3:10" ht="20.25" customHeight="1">
      <c r="C41" s="207"/>
      <c r="D41" s="60">
        <v>33</v>
      </c>
      <c r="E41" s="136">
        <v>4437.8478660000001</v>
      </c>
      <c r="F41" s="137">
        <v>16.22119816</v>
      </c>
      <c r="G41" s="137">
        <v>3443.4137289999999</v>
      </c>
      <c r="H41" s="137">
        <v>69.953488370000002</v>
      </c>
      <c r="I41" s="137">
        <v>4615.955473</v>
      </c>
      <c r="J41" s="138">
        <v>22.60465116</v>
      </c>
    </row>
    <row r="42" spans="3:10" ht="20.25" customHeight="1">
      <c r="C42" s="207"/>
      <c r="D42" s="60">
        <v>34</v>
      </c>
      <c r="E42" s="136">
        <v>4512.0593689999996</v>
      </c>
      <c r="F42" s="137">
        <v>15.48387097</v>
      </c>
      <c r="G42" s="137">
        <v>3562.1521339999999</v>
      </c>
      <c r="H42" s="137">
        <v>69.20930233</v>
      </c>
      <c r="I42" s="137" t="s">
        <v>627</v>
      </c>
      <c r="J42" s="138"/>
    </row>
    <row r="43" spans="3:10" ht="20.25" customHeight="1">
      <c r="C43" s="207"/>
      <c r="D43" s="60">
        <v>35</v>
      </c>
      <c r="E43" s="136">
        <v>4601.1131729999997</v>
      </c>
      <c r="F43" s="137">
        <v>14.37788018</v>
      </c>
      <c r="G43" s="137">
        <v>3680.8905380000001</v>
      </c>
      <c r="H43" s="137">
        <v>67.720930229999993</v>
      </c>
      <c r="I43" s="137" t="s">
        <v>627</v>
      </c>
      <c r="J43" s="138"/>
    </row>
    <row r="44" spans="3:10" ht="20.25" customHeight="1">
      <c r="C44" s="207"/>
      <c r="D44" s="60">
        <v>36</v>
      </c>
      <c r="E44" s="136" t="s">
        <v>627</v>
      </c>
      <c r="F44" s="137" t="s">
        <v>627</v>
      </c>
      <c r="G44" s="137">
        <v>3799.6289419999998</v>
      </c>
      <c r="H44" s="137">
        <v>66.046511629999998</v>
      </c>
      <c r="I44" s="137" t="s">
        <v>627</v>
      </c>
      <c r="J44" s="138"/>
    </row>
    <row r="45" spans="3:10" ht="20.25" customHeight="1">
      <c r="C45" s="207"/>
      <c r="D45" s="60">
        <v>37</v>
      </c>
      <c r="E45" s="136" t="s">
        <v>627</v>
      </c>
      <c r="F45" s="137" t="s">
        <v>627</v>
      </c>
      <c r="G45" s="137">
        <v>3903.5250460000002</v>
      </c>
      <c r="H45" s="137">
        <v>64.186046509999997</v>
      </c>
      <c r="I45" s="137" t="s">
        <v>627</v>
      </c>
      <c r="J45" s="138"/>
    </row>
    <row r="46" spans="3:10" ht="20.25" customHeight="1">
      <c r="C46" s="207"/>
      <c r="D46" s="60">
        <v>38</v>
      </c>
      <c r="E46" s="136" t="s">
        <v>627</v>
      </c>
      <c r="F46" s="137" t="s">
        <v>627</v>
      </c>
      <c r="G46" s="137">
        <v>4022.2634509999998</v>
      </c>
      <c r="H46" s="137">
        <v>61.395348839999997</v>
      </c>
      <c r="I46" s="137" t="s">
        <v>627</v>
      </c>
      <c r="J46" s="138"/>
    </row>
    <row r="47" spans="3:10" ht="20.25" customHeight="1">
      <c r="C47" s="207"/>
      <c r="D47" s="60">
        <v>39</v>
      </c>
      <c r="E47" s="136" t="s">
        <v>627</v>
      </c>
      <c r="F47" s="137" t="s">
        <v>627</v>
      </c>
      <c r="G47" s="137">
        <v>4111.3172539999996</v>
      </c>
      <c r="H47" s="137">
        <v>59.906976739999998</v>
      </c>
      <c r="I47" s="137" t="s">
        <v>627</v>
      </c>
      <c r="J47" s="138"/>
    </row>
    <row r="48" spans="3:10" ht="20.25" customHeight="1">
      <c r="C48" s="207"/>
      <c r="D48" s="60">
        <v>40</v>
      </c>
      <c r="E48" s="136" t="s">
        <v>627</v>
      </c>
      <c r="F48" s="137" t="s">
        <v>627</v>
      </c>
      <c r="G48" s="137">
        <v>4230.0556589999997</v>
      </c>
      <c r="H48" s="137">
        <v>56.744186050000003</v>
      </c>
      <c r="I48" s="137" t="s">
        <v>627</v>
      </c>
      <c r="J48" s="138"/>
    </row>
    <row r="49" spans="3:10" ht="20.25" customHeight="1">
      <c r="C49" s="207"/>
      <c r="D49" s="60">
        <v>41</v>
      </c>
      <c r="E49" s="136" t="s">
        <v>627</v>
      </c>
      <c r="F49" s="137" t="s">
        <v>627</v>
      </c>
      <c r="G49" s="137">
        <v>4341.3729130000002</v>
      </c>
      <c r="H49" s="137">
        <v>53.767441859999998</v>
      </c>
      <c r="I49" s="137" t="s">
        <v>627</v>
      </c>
      <c r="J49" s="138"/>
    </row>
    <row r="50" spans="3:10" ht="20.25" customHeight="1">
      <c r="C50" s="207"/>
      <c r="D50" s="60">
        <v>42</v>
      </c>
      <c r="E50" s="136" t="s">
        <v>627</v>
      </c>
      <c r="F50" s="137" t="s">
        <v>627</v>
      </c>
      <c r="G50" s="137">
        <v>4430.4267159999999</v>
      </c>
      <c r="H50" s="137">
        <v>51.72093023</v>
      </c>
      <c r="I50" s="137" t="s">
        <v>627</v>
      </c>
      <c r="J50" s="138"/>
    </row>
    <row r="51" spans="3:10" ht="20.25" customHeight="1">
      <c r="C51" s="207"/>
      <c r="D51" s="60">
        <v>43</v>
      </c>
      <c r="E51" s="136" t="s">
        <v>627</v>
      </c>
      <c r="F51" s="137" t="s">
        <v>627</v>
      </c>
      <c r="G51" s="137">
        <v>4519.4805189999997</v>
      </c>
      <c r="H51" s="137">
        <v>49.116279069999997</v>
      </c>
      <c r="I51" s="137" t="s">
        <v>627</v>
      </c>
      <c r="J51" s="138"/>
    </row>
    <row r="52" spans="3:10" ht="20.25" customHeight="1">
      <c r="C52" s="207"/>
      <c r="D52" s="60">
        <v>44</v>
      </c>
      <c r="E52" s="136" t="s">
        <v>627</v>
      </c>
      <c r="F52" s="137" t="s">
        <v>627</v>
      </c>
      <c r="G52" s="137">
        <v>4601.1131729999997</v>
      </c>
      <c r="H52" s="137">
        <v>46.325581399999997</v>
      </c>
      <c r="I52" s="137" t="s">
        <v>627</v>
      </c>
      <c r="J52" s="138"/>
    </row>
    <row r="53" spans="3:10" ht="20.25" customHeight="1">
      <c r="C53" s="207"/>
      <c r="D53" s="60">
        <v>45</v>
      </c>
      <c r="E53" s="136"/>
      <c r="F53" s="137"/>
      <c r="G53" s="137"/>
      <c r="H53" s="137"/>
      <c r="I53" s="137"/>
      <c r="J53" s="138"/>
    </row>
    <row r="54" spans="3:10" ht="20.25" customHeight="1">
      <c r="C54" s="207"/>
      <c r="D54" s="60">
        <v>46</v>
      </c>
      <c r="E54" s="136"/>
      <c r="F54" s="137"/>
      <c r="G54" s="137"/>
      <c r="H54" s="137"/>
      <c r="I54" s="137"/>
      <c r="J54" s="138"/>
    </row>
    <row r="55" spans="3:10" ht="20.25" customHeight="1">
      <c r="C55" s="207"/>
      <c r="D55" s="60">
        <v>47</v>
      </c>
      <c r="E55" s="136"/>
      <c r="F55" s="137"/>
      <c r="G55" s="137"/>
      <c r="H55" s="137"/>
      <c r="I55" s="137"/>
      <c r="J55" s="138"/>
    </row>
    <row r="56" spans="3:10" ht="20.25" customHeight="1">
      <c r="C56" s="207"/>
      <c r="D56" s="60">
        <v>48</v>
      </c>
      <c r="E56" s="136"/>
      <c r="F56" s="137"/>
      <c r="G56" s="137"/>
      <c r="H56" s="137"/>
      <c r="I56" s="137"/>
      <c r="J56" s="138"/>
    </row>
    <row r="57" spans="3:10" ht="20.25" customHeight="1">
      <c r="C57" s="207"/>
      <c r="D57" s="60">
        <v>49</v>
      </c>
      <c r="E57" s="136"/>
      <c r="F57" s="137"/>
      <c r="G57" s="137"/>
      <c r="H57" s="137"/>
      <c r="I57" s="137"/>
      <c r="J57" s="138"/>
    </row>
    <row r="58" spans="3:10" ht="20.25" customHeight="1">
      <c r="C58" s="207"/>
      <c r="D58" s="60">
        <v>50</v>
      </c>
      <c r="E58" s="136"/>
      <c r="F58" s="137"/>
      <c r="G58" s="137"/>
      <c r="H58" s="137"/>
      <c r="I58" s="137"/>
      <c r="J58" s="138"/>
    </row>
    <row r="59" spans="3:10" ht="20.25" customHeight="1">
      <c r="C59" s="207"/>
      <c r="D59" s="60">
        <v>51</v>
      </c>
      <c r="E59" s="136"/>
      <c r="F59" s="137"/>
      <c r="G59" s="137"/>
      <c r="H59" s="137"/>
      <c r="I59" s="137"/>
      <c r="J59" s="138"/>
    </row>
    <row r="60" spans="3:10" ht="20.25" customHeight="1">
      <c r="C60" s="207"/>
      <c r="D60" s="60">
        <v>52</v>
      </c>
      <c r="E60" s="136"/>
      <c r="F60" s="137"/>
      <c r="G60" s="137"/>
      <c r="H60" s="137"/>
      <c r="I60" s="137"/>
      <c r="J60" s="138"/>
    </row>
    <row r="61" spans="3:10" ht="20.25" customHeight="1">
      <c r="C61" s="207"/>
      <c r="D61" s="60">
        <v>53</v>
      </c>
      <c r="E61" s="136"/>
      <c r="F61" s="137"/>
      <c r="G61" s="137"/>
      <c r="H61" s="137"/>
      <c r="I61" s="137"/>
      <c r="J61" s="138"/>
    </row>
    <row r="62" spans="3:10" ht="20.25" customHeight="1">
      <c r="C62" s="207"/>
      <c r="D62" s="60">
        <v>54</v>
      </c>
      <c r="E62" s="136"/>
      <c r="F62" s="137"/>
      <c r="G62" s="137"/>
      <c r="H62" s="137"/>
      <c r="I62" s="137"/>
      <c r="J62" s="138"/>
    </row>
    <row r="63" spans="3:10" ht="20.25" customHeight="1">
      <c r="C63" s="207"/>
      <c r="D63" s="60">
        <v>55</v>
      </c>
      <c r="E63" s="136"/>
      <c r="F63" s="137"/>
      <c r="G63" s="137"/>
      <c r="H63" s="137"/>
      <c r="I63" s="137"/>
      <c r="J63" s="138"/>
    </row>
    <row r="64" spans="3:10" ht="20.25" customHeight="1">
      <c r="C64" s="207"/>
      <c r="D64" s="60">
        <v>56</v>
      </c>
      <c r="E64" s="136"/>
      <c r="F64" s="137"/>
      <c r="G64" s="137"/>
      <c r="H64" s="137"/>
      <c r="I64" s="137"/>
      <c r="J64" s="138"/>
    </row>
    <row r="65" spans="3:10" ht="20.25" customHeight="1">
      <c r="C65" s="207"/>
      <c r="D65" s="60">
        <v>57</v>
      </c>
      <c r="E65" s="136"/>
      <c r="F65" s="137"/>
      <c r="G65" s="137"/>
      <c r="H65" s="137"/>
      <c r="I65" s="137"/>
      <c r="J65" s="138"/>
    </row>
    <row r="66" spans="3:10" ht="20.25" customHeight="1">
      <c r="C66" s="207"/>
      <c r="D66" s="60">
        <v>58</v>
      </c>
      <c r="E66" s="136"/>
      <c r="F66" s="137"/>
      <c r="G66" s="137"/>
      <c r="H66" s="137"/>
      <c r="I66" s="137"/>
      <c r="J66" s="138"/>
    </row>
    <row r="67" spans="3:10" ht="20.25" customHeight="1">
      <c r="C67" s="207"/>
      <c r="D67" s="60">
        <v>59</v>
      </c>
      <c r="E67" s="136"/>
      <c r="F67" s="137"/>
      <c r="G67" s="137"/>
      <c r="H67" s="137"/>
      <c r="I67" s="137"/>
      <c r="J67" s="138"/>
    </row>
    <row r="68" spans="3:10" ht="20.25" customHeight="1">
      <c r="C68" s="207"/>
      <c r="D68" s="60">
        <v>60</v>
      </c>
      <c r="E68" s="136"/>
      <c r="F68" s="137"/>
      <c r="G68" s="137"/>
      <c r="H68" s="137"/>
      <c r="I68" s="137"/>
      <c r="J68" s="138"/>
    </row>
    <row r="69" spans="3:10" ht="20.25" customHeight="1">
      <c r="C69" s="207"/>
      <c r="D69" s="60">
        <v>61</v>
      </c>
      <c r="E69" s="136"/>
      <c r="F69" s="137"/>
      <c r="G69" s="137"/>
      <c r="H69" s="137"/>
      <c r="I69" s="137"/>
      <c r="J69" s="138"/>
    </row>
    <row r="70" spans="3:10" ht="20.25" customHeight="1">
      <c r="C70" s="207"/>
      <c r="D70" s="60">
        <v>62</v>
      </c>
      <c r="E70" s="136"/>
      <c r="F70" s="137"/>
      <c r="G70" s="137"/>
      <c r="H70" s="137"/>
      <c r="I70" s="137"/>
      <c r="J70" s="138"/>
    </row>
    <row r="71" spans="3:10" ht="20.25" customHeight="1">
      <c r="C71" s="207"/>
      <c r="D71" s="60">
        <v>63</v>
      </c>
      <c r="E71" s="136"/>
      <c r="F71" s="137"/>
      <c r="G71" s="137"/>
      <c r="H71" s="137"/>
      <c r="I71" s="137"/>
      <c r="J71" s="138"/>
    </row>
    <row r="72" spans="3:10" ht="20.25" customHeight="1">
      <c r="C72" s="207"/>
      <c r="D72" s="60">
        <v>64</v>
      </c>
      <c r="E72" s="136"/>
      <c r="F72" s="137"/>
      <c r="G72" s="137"/>
      <c r="H72" s="137"/>
      <c r="I72" s="137"/>
      <c r="J72" s="138"/>
    </row>
    <row r="73" spans="3:10" ht="20.25" customHeight="1">
      <c r="C73" s="207"/>
      <c r="D73" s="60">
        <v>65</v>
      </c>
      <c r="E73" s="136"/>
      <c r="F73" s="137"/>
      <c r="G73" s="137"/>
      <c r="H73" s="137"/>
      <c r="I73" s="137"/>
      <c r="J73" s="138"/>
    </row>
    <row r="74" spans="3:10" ht="20.25" customHeight="1">
      <c r="C74" s="207"/>
      <c r="D74" s="60">
        <v>66</v>
      </c>
      <c r="E74" s="136"/>
      <c r="F74" s="137"/>
      <c r="G74" s="137"/>
      <c r="H74" s="137"/>
      <c r="I74" s="137"/>
      <c r="J74" s="138"/>
    </row>
    <row r="75" spans="3:10" ht="20.25" customHeight="1">
      <c r="C75" s="207"/>
      <c r="D75" s="60">
        <v>67</v>
      </c>
      <c r="E75" s="136"/>
      <c r="F75" s="137"/>
      <c r="G75" s="137"/>
      <c r="H75" s="137"/>
      <c r="I75" s="137"/>
      <c r="J75" s="138"/>
    </row>
    <row r="76" spans="3:10" ht="20.25" customHeight="1">
      <c r="C76" s="207"/>
      <c r="D76" s="60">
        <v>68</v>
      </c>
      <c r="E76" s="136"/>
      <c r="F76" s="137"/>
      <c r="G76" s="137"/>
      <c r="H76" s="137"/>
      <c r="I76" s="137"/>
      <c r="J76" s="138"/>
    </row>
    <row r="77" spans="3:10" ht="20.25" customHeight="1">
      <c r="C77" s="207"/>
      <c r="D77" s="60">
        <v>69</v>
      </c>
      <c r="E77" s="136"/>
      <c r="F77" s="137"/>
      <c r="G77" s="137"/>
      <c r="H77" s="137"/>
      <c r="I77" s="137"/>
      <c r="J77" s="138"/>
    </row>
    <row r="78" spans="3:10" ht="20.25" customHeight="1">
      <c r="C78" s="207"/>
      <c r="D78" s="60">
        <v>70</v>
      </c>
      <c r="E78" s="136"/>
      <c r="F78" s="137"/>
      <c r="G78" s="137"/>
      <c r="H78" s="137"/>
      <c r="I78" s="137"/>
      <c r="J78" s="138"/>
    </row>
    <row r="79" spans="3:10" ht="20.25" customHeight="1">
      <c r="C79" s="207"/>
      <c r="D79" s="60">
        <v>71</v>
      </c>
      <c r="E79" s="136"/>
      <c r="F79" s="137"/>
      <c r="G79" s="137"/>
      <c r="H79" s="137"/>
      <c r="I79" s="137"/>
      <c r="J79" s="138"/>
    </row>
    <row r="80" spans="3:10" ht="20.25" customHeight="1">
      <c r="C80" s="207"/>
      <c r="D80" s="60">
        <v>72</v>
      </c>
      <c r="E80" s="136"/>
      <c r="F80" s="137"/>
      <c r="G80" s="137"/>
      <c r="H80" s="137"/>
      <c r="I80" s="137"/>
      <c r="J80" s="138"/>
    </row>
    <row r="81" spans="3:10" ht="20.25" customHeight="1">
      <c r="C81" s="207"/>
      <c r="D81" s="60">
        <v>73</v>
      </c>
      <c r="E81" s="136"/>
      <c r="F81" s="137"/>
      <c r="G81" s="137"/>
      <c r="H81" s="137"/>
      <c r="I81" s="137"/>
      <c r="J81" s="138"/>
    </row>
    <row r="82" spans="3:10" ht="20.25" customHeight="1">
      <c r="C82" s="207"/>
      <c r="D82" s="60">
        <v>74</v>
      </c>
      <c r="E82" s="136"/>
      <c r="F82" s="137"/>
      <c r="G82" s="137"/>
      <c r="H82" s="137"/>
      <c r="I82" s="137"/>
      <c r="J82" s="138"/>
    </row>
    <row r="83" spans="3:10" ht="20.25" customHeight="1">
      <c r="C83" s="207"/>
      <c r="D83" s="60">
        <v>75</v>
      </c>
      <c r="E83" s="136"/>
      <c r="F83" s="137"/>
      <c r="G83" s="137"/>
      <c r="H83" s="137"/>
      <c r="I83" s="137"/>
      <c r="J83" s="138"/>
    </row>
    <row r="84" spans="3:10" ht="20.25" customHeight="1">
      <c r="C84" s="207"/>
      <c r="D84" s="60">
        <v>76</v>
      </c>
      <c r="E84" s="136"/>
      <c r="F84" s="137"/>
      <c r="G84" s="137"/>
      <c r="H84" s="137"/>
      <c r="I84" s="137"/>
      <c r="J84" s="138"/>
    </row>
    <row r="85" spans="3:10" ht="20.25" customHeight="1">
      <c r="C85" s="207"/>
      <c r="D85" s="60">
        <v>77</v>
      </c>
      <c r="E85" s="136"/>
      <c r="F85" s="137"/>
      <c r="G85" s="137"/>
      <c r="H85" s="137"/>
      <c r="I85" s="137"/>
      <c r="J85" s="138"/>
    </row>
    <row r="86" spans="3:10" ht="20.25" customHeight="1">
      <c r="C86" s="207"/>
      <c r="D86" s="60">
        <v>78</v>
      </c>
      <c r="E86" s="136"/>
      <c r="F86" s="137"/>
      <c r="G86" s="137"/>
      <c r="H86" s="137"/>
      <c r="I86" s="137"/>
      <c r="J86" s="138"/>
    </row>
    <row r="87" spans="3:10" ht="20.25" customHeight="1">
      <c r="C87" s="207"/>
      <c r="D87" s="60">
        <v>79</v>
      </c>
      <c r="E87" s="136"/>
      <c r="F87" s="137"/>
      <c r="G87" s="137"/>
      <c r="H87" s="137"/>
      <c r="I87" s="137"/>
      <c r="J87" s="138"/>
    </row>
    <row r="88" spans="3:10" ht="20.25" customHeight="1">
      <c r="C88" s="207"/>
      <c r="D88" s="60">
        <v>80</v>
      </c>
      <c r="E88" s="136"/>
      <c r="F88" s="137"/>
      <c r="G88" s="137"/>
      <c r="H88" s="137"/>
      <c r="I88" s="137"/>
      <c r="J88" s="138"/>
    </row>
    <row r="89" spans="3:10" ht="20.25" customHeight="1">
      <c r="C89" s="207"/>
      <c r="D89" s="60">
        <v>81</v>
      </c>
      <c r="E89" s="136"/>
      <c r="F89" s="137"/>
      <c r="G89" s="137"/>
      <c r="H89" s="137"/>
      <c r="I89" s="137"/>
      <c r="J89" s="138"/>
    </row>
    <row r="90" spans="3:10" ht="20.25" customHeight="1">
      <c r="C90" s="207"/>
      <c r="D90" s="60">
        <v>82</v>
      </c>
      <c r="E90" s="136"/>
      <c r="F90" s="137"/>
      <c r="G90" s="137"/>
      <c r="H90" s="137"/>
      <c r="I90" s="137"/>
      <c r="J90" s="138"/>
    </row>
    <row r="91" spans="3:10" ht="20.25" customHeight="1">
      <c r="C91" s="207"/>
      <c r="D91" s="60">
        <v>83</v>
      </c>
      <c r="E91" s="136"/>
      <c r="F91" s="137"/>
      <c r="G91" s="137"/>
      <c r="H91" s="137"/>
      <c r="I91" s="137"/>
      <c r="J91" s="138"/>
    </row>
    <row r="92" spans="3:10" ht="20.25" customHeight="1">
      <c r="C92" s="207"/>
      <c r="D92" s="60">
        <v>84</v>
      </c>
      <c r="E92" s="136"/>
      <c r="F92" s="137"/>
      <c r="G92" s="137"/>
      <c r="H92" s="137"/>
      <c r="I92" s="137"/>
      <c r="J92" s="138"/>
    </row>
    <row r="93" spans="3:10" ht="20.25" customHeight="1">
      <c r="C93" s="207"/>
      <c r="D93" s="60">
        <v>85</v>
      </c>
      <c r="E93" s="136"/>
      <c r="F93" s="137"/>
      <c r="G93" s="137"/>
      <c r="H93" s="137"/>
      <c r="I93" s="137"/>
      <c r="J93" s="138"/>
    </row>
    <row r="94" spans="3:10" ht="20.25" customHeight="1">
      <c r="C94" s="207"/>
      <c r="D94" s="60">
        <v>86</v>
      </c>
      <c r="E94" s="136"/>
      <c r="F94" s="137"/>
      <c r="G94" s="137"/>
      <c r="H94" s="137"/>
      <c r="I94" s="137"/>
      <c r="J94" s="138"/>
    </row>
    <row r="95" spans="3:10" ht="20.25" customHeight="1">
      <c r="C95" s="207"/>
      <c r="D95" s="60">
        <v>87</v>
      </c>
      <c r="E95" s="136"/>
      <c r="F95" s="137"/>
      <c r="G95" s="137"/>
      <c r="H95" s="137"/>
      <c r="I95" s="137"/>
      <c r="J95" s="138"/>
    </row>
    <row r="96" spans="3:10" ht="20.25" customHeight="1">
      <c r="C96" s="207"/>
      <c r="D96" s="60">
        <v>88</v>
      </c>
      <c r="E96" s="136"/>
      <c r="F96" s="137"/>
      <c r="G96" s="137"/>
      <c r="H96" s="137"/>
      <c r="I96" s="137"/>
      <c r="J96" s="138"/>
    </row>
    <row r="97" spans="3:10" ht="20.25" customHeight="1">
      <c r="C97" s="207"/>
      <c r="D97" s="60">
        <v>89</v>
      </c>
      <c r="E97" s="136"/>
      <c r="F97" s="137"/>
      <c r="G97" s="137"/>
      <c r="H97" s="137"/>
      <c r="I97" s="137"/>
      <c r="J97" s="138"/>
    </row>
    <row r="98" spans="3:10" ht="20.25" customHeight="1">
      <c r="C98" s="207"/>
      <c r="D98" s="60">
        <v>90</v>
      </c>
      <c r="E98" s="136"/>
      <c r="F98" s="137"/>
      <c r="G98" s="137"/>
      <c r="H98" s="137"/>
      <c r="I98" s="137"/>
      <c r="J98" s="138"/>
    </row>
    <row r="99" spans="3:10" ht="20.25" customHeight="1">
      <c r="C99" s="207"/>
      <c r="D99" s="60">
        <v>91</v>
      </c>
      <c r="E99" s="136"/>
      <c r="F99" s="137"/>
      <c r="G99" s="137"/>
      <c r="H99" s="137"/>
      <c r="I99" s="137"/>
      <c r="J99" s="138"/>
    </row>
    <row r="100" spans="3:10" ht="20.25" customHeight="1">
      <c r="C100" s="207"/>
      <c r="D100" s="60">
        <v>92</v>
      </c>
      <c r="E100" s="136"/>
      <c r="F100" s="137"/>
      <c r="G100" s="137"/>
      <c r="H100" s="137"/>
      <c r="I100" s="137"/>
      <c r="J100" s="138"/>
    </row>
    <row r="101" spans="3:10" ht="20.25" customHeight="1">
      <c r="C101" s="207"/>
      <c r="D101" s="60">
        <v>93</v>
      </c>
      <c r="E101" s="136"/>
      <c r="F101" s="137"/>
      <c r="G101" s="137"/>
      <c r="H101" s="137"/>
      <c r="I101" s="137"/>
      <c r="J101" s="138"/>
    </row>
    <row r="102" spans="3:10" ht="20.25" customHeight="1">
      <c r="C102" s="207"/>
      <c r="D102" s="60">
        <v>94</v>
      </c>
      <c r="E102" s="136"/>
      <c r="F102" s="137"/>
      <c r="G102" s="137"/>
      <c r="H102" s="137"/>
      <c r="I102" s="137"/>
      <c r="J102" s="138"/>
    </row>
    <row r="103" spans="3:10" ht="20.25" customHeight="1">
      <c r="C103" s="207"/>
      <c r="D103" s="60">
        <v>95</v>
      </c>
      <c r="E103" s="136"/>
      <c r="F103" s="137"/>
      <c r="G103" s="137"/>
      <c r="H103" s="137"/>
      <c r="I103" s="137"/>
      <c r="J103" s="138"/>
    </row>
    <row r="104" spans="3:10" ht="20.25" customHeight="1">
      <c r="C104" s="207"/>
      <c r="D104" s="60">
        <v>96</v>
      </c>
      <c r="E104" s="136"/>
      <c r="F104" s="137"/>
      <c r="G104" s="137"/>
      <c r="H104" s="137"/>
      <c r="I104" s="137"/>
      <c r="J104" s="138"/>
    </row>
    <row r="105" spans="3:10" ht="20.25" customHeight="1">
      <c r="C105" s="207"/>
      <c r="D105" s="60">
        <v>97</v>
      </c>
      <c r="E105" s="136"/>
      <c r="F105" s="137"/>
      <c r="G105" s="137"/>
      <c r="H105" s="137"/>
      <c r="I105" s="137"/>
      <c r="J105" s="138"/>
    </row>
    <row r="106" spans="3:10" ht="20.25" customHeight="1">
      <c r="C106" s="207"/>
      <c r="D106" s="60">
        <v>98</v>
      </c>
      <c r="E106" s="136"/>
      <c r="F106" s="137"/>
      <c r="G106" s="137"/>
      <c r="H106" s="137"/>
      <c r="I106" s="137"/>
      <c r="J106" s="138"/>
    </row>
    <row r="107" spans="3:10" ht="20.25" customHeight="1">
      <c r="C107" s="207"/>
      <c r="D107" s="60">
        <v>99</v>
      </c>
      <c r="E107" s="136"/>
      <c r="F107" s="137"/>
      <c r="G107" s="137"/>
      <c r="H107" s="137"/>
      <c r="I107" s="137"/>
      <c r="J107" s="138"/>
    </row>
    <row r="108" spans="3:10" ht="20.25" customHeight="1">
      <c r="C108" s="207"/>
      <c r="D108" s="60">
        <v>100</v>
      </c>
      <c r="E108" s="136"/>
      <c r="F108" s="137"/>
      <c r="G108" s="137"/>
      <c r="H108" s="137"/>
      <c r="I108" s="137"/>
      <c r="J108" s="138"/>
    </row>
    <row r="109" spans="3:10" ht="20.25" customHeight="1">
      <c r="C109" s="207"/>
      <c r="D109" s="60">
        <v>101</v>
      </c>
      <c r="E109" s="136"/>
      <c r="F109" s="137"/>
      <c r="G109" s="137"/>
      <c r="H109" s="137"/>
      <c r="I109" s="137"/>
      <c r="J109" s="138"/>
    </row>
    <row r="110" spans="3:10" ht="20.25" customHeight="1">
      <c r="C110" s="207"/>
      <c r="D110" s="60">
        <v>102</v>
      </c>
      <c r="E110" s="136"/>
      <c r="F110" s="137"/>
      <c r="G110" s="137"/>
      <c r="H110" s="137"/>
      <c r="I110" s="137"/>
      <c r="J110" s="138"/>
    </row>
    <row r="111" spans="3:10" ht="20.25" customHeight="1">
      <c r="C111" s="207"/>
      <c r="D111" s="60">
        <v>103</v>
      </c>
      <c r="E111" s="136"/>
      <c r="F111" s="137"/>
      <c r="G111" s="137"/>
      <c r="H111" s="137"/>
      <c r="I111" s="137"/>
      <c r="J111" s="138"/>
    </row>
    <row r="112" spans="3:10" ht="20.25" customHeight="1">
      <c r="C112" s="207"/>
      <c r="D112" s="60">
        <v>104</v>
      </c>
      <c r="E112" s="136"/>
      <c r="F112" s="137"/>
      <c r="G112" s="137"/>
      <c r="H112" s="137"/>
      <c r="I112" s="137"/>
      <c r="J112" s="138"/>
    </row>
    <row r="113" spans="3:10" ht="20.25" customHeight="1">
      <c r="C113" s="207"/>
      <c r="D113" s="60">
        <v>105</v>
      </c>
      <c r="E113" s="136"/>
      <c r="F113" s="137"/>
      <c r="G113" s="137"/>
      <c r="H113" s="137"/>
      <c r="I113" s="137"/>
      <c r="J113" s="138"/>
    </row>
    <row r="114" spans="3:10" ht="20.25" customHeight="1">
      <c r="C114" s="207"/>
      <c r="D114" s="60">
        <v>106</v>
      </c>
      <c r="E114" s="136"/>
      <c r="F114" s="137"/>
      <c r="G114" s="137"/>
      <c r="H114" s="137"/>
      <c r="I114" s="137"/>
      <c r="J114" s="138"/>
    </row>
    <row r="115" spans="3:10" ht="20.25" customHeight="1">
      <c r="C115" s="207"/>
      <c r="D115" s="60">
        <v>107</v>
      </c>
      <c r="E115" s="136"/>
      <c r="F115" s="137"/>
      <c r="G115" s="137"/>
      <c r="H115" s="137"/>
      <c r="I115" s="137"/>
      <c r="J115" s="138"/>
    </row>
    <row r="116" spans="3:10" ht="20.25" customHeight="1">
      <c r="C116" s="207"/>
      <c r="D116" s="60">
        <v>108</v>
      </c>
      <c r="E116" s="136"/>
      <c r="F116" s="137"/>
      <c r="G116" s="137"/>
      <c r="H116" s="137"/>
      <c r="I116" s="137"/>
      <c r="J116" s="138"/>
    </row>
    <row r="117" spans="3:10" ht="20.25" customHeight="1">
      <c r="C117" s="207"/>
      <c r="D117" s="60">
        <v>109</v>
      </c>
      <c r="E117" s="136"/>
      <c r="F117" s="137"/>
      <c r="G117" s="137"/>
      <c r="H117" s="137"/>
      <c r="I117" s="137"/>
      <c r="J117" s="138"/>
    </row>
    <row r="118" spans="3:10" ht="20.25" customHeight="1">
      <c r="C118" s="207"/>
      <c r="D118" s="60">
        <v>110</v>
      </c>
      <c r="E118" s="136"/>
      <c r="F118" s="137"/>
      <c r="G118" s="137"/>
      <c r="H118" s="137"/>
      <c r="I118" s="137"/>
      <c r="J118" s="138"/>
    </row>
    <row r="119" spans="3:10" ht="20.25" customHeight="1">
      <c r="C119" s="207"/>
      <c r="D119" s="60">
        <v>111</v>
      </c>
      <c r="E119" s="136"/>
      <c r="F119" s="137"/>
      <c r="G119" s="137"/>
      <c r="H119" s="137"/>
      <c r="I119" s="137"/>
      <c r="J119" s="138"/>
    </row>
    <row r="120" spans="3:10" ht="20.25" customHeight="1">
      <c r="C120" s="207"/>
      <c r="D120" s="60">
        <v>112</v>
      </c>
      <c r="E120" s="136"/>
      <c r="F120" s="137"/>
      <c r="G120" s="137"/>
      <c r="H120" s="137"/>
      <c r="I120" s="137"/>
      <c r="J120" s="138"/>
    </row>
    <row r="121" spans="3:10" ht="20.25" customHeight="1">
      <c r="C121" s="207"/>
      <c r="D121" s="60">
        <v>113</v>
      </c>
      <c r="E121" s="136"/>
      <c r="F121" s="137"/>
      <c r="G121" s="137"/>
      <c r="H121" s="137"/>
      <c r="I121" s="137"/>
      <c r="J121" s="138"/>
    </row>
    <row r="122" spans="3:10" ht="20.25" customHeight="1">
      <c r="C122" s="207"/>
      <c r="D122" s="60">
        <v>114</v>
      </c>
      <c r="E122" s="136"/>
      <c r="F122" s="137"/>
      <c r="G122" s="137"/>
      <c r="H122" s="137"/>
      <c r="I122" s="137"/>
      <c r="J122" s="138"/>
    </row>
    <row r="123" spans="3:10" ht="20.25" customHeight="1">
      <c r="C123" s="207"/>
      <c r="D123" s="60">
        <v>115</v>
      </c>
      <c r="E123" s="136"/>
      <c r="F123" s="137"/>
      <c r="G123" s="137"/>
      <c r="H123" s="137"/>
      <c r="I123" s="137"/>
      <c r="J123" s="138"/>
    </row>
    <row r="124" spans="3:10" ht="20.25" customHeight="1">
      <c r="C124" s="207"/>
      <c r="D124" s="60">
        <v>116</v>
      </c>
      <c r="E124" s="136"/>
      <c r="F124" s="137"/>
      <c r="G124" s="137"/>
      <c r="H124" s="137"/>
      <c r="I124" s="137"/>
      <c r="J124" s="138"/>
    </row>
    <row r="125" spans="3:10" ht="20.25" customHeight="1">
      <c r="C125" s="207"/>
      <c r="D125" s="60">
        <v>117</v>
      </c>
      <c r="E125" s="136"/>
      <c r="F125" s="137"/>
      <c r="G125" s="137"/>
      <c r="H125" s="137"/>
      <c r="I125" s="137"/>
      <c r="J125" s="138"/>
    </row>
    <row r="126" spans="3:10" ht="20.25" customHeight="1">
      <c r="C126" s="207"/>
      <c r="D126" s="60">
        <v>118</v>
      </c>
      <c r="E126" s="136"/>
      <c r="F126" s="137"/>
      <c r="G126" s="137"/>
      <c r="H126" s="137"/>
      <c r="I126" s="137"/>
      <c r="J126" s="138"/>
    </row>
    <row r="127" spans="3:10" ht="20.25" customHeight="1">
      <c r="C127" s="207"/>
      <c r="D127" s="60">
        <v>119</v>
      </c>
      <c r="E127" s="136"/>
      <c r="F127" s="137"/>
      <c r="G127" s="137"/>
      <c r="H127" s="137"/>
      <c r="I127" s="137"/>
      <c r="J127" s="138"/>
    </row>
    <row r="128" spans="3:10" ht="20.25" customHeight="1">
      <c r="C128" s="207"/>
      <c r="D128" s="60">
        <v>120</v>
      </c>
      <c r="E128" s="136"/>
      <c r="F128" s="137"/>
      <c r="G128" s="137"/>
      <c r="H128" s="137"/>
      <c r="I128" s="137"/>
      <c r="J128" s="138"/>
    </row>
    <row r="129" spans="3:10" ht="20.25" customHeight="1">
      <c r="C129" s="207"/>
      <c r="D129" s="60">
        <v>121</v>
      </c>
      <c r="E129" s="136"/>
      <c r="F129" s="137"/>
      <c r="G129" s="137"/>
      <c r="H129" s="137"/>
      <c r="I129" s="137"/>
      <c r="J129" s="138"/>
    </row>
    <row r="130" spans="3:10" ht="20.25" customHeight="1">
      <c r="C130" s="207"/>
      <c r="D130" s="60">
        <v>122</v>
      </c>
      <c r="E130" s="136"/>
      <c r="F130" s="137"/>
      <c r="G130" s="137"/>
      <c r="H130" s="137"/>
      <c r="I130" s="137"/>
      <c r="J130" s="138"/>
    </row>
    <row r="131" spans="3:10" ht="20.25" customHeight="1">
      <c r="C131" s="207"/>
      <c r="D131" s="60">
        <v>123</v>
      </c>
      <c r="E131" s="136"/>
      <c r="F131" s="137"/>
      <c r="G131" s="137"/>
      <c r="H131" s="137"/>
      <c r="I131" s="137"/>
      <c r="J131" s="138"/>
    </row>
    <row r="132" spans="3:10" ht="20.25" customHeight="1">
      <c r="C132" s="207"/>
      <c r="D132" s="60">
        <v>124</v>
      </c>
      <c r="E132" s="136"/>
      <c r="F132" s="137"/>
      <c r="G132" s="137"/>
      <c r="H132" s="137"/>
      <c r="I132" s="137"/>
      <c r="J132" s="138"/>
    </row>
    <row r="133" spans="3:10" ht="20.25" customHeight="1">
      <c r="C133" s="207"/>
      <c r="D133" s="60">
        <v>125</v>
      </c>
      <c r="E133" s="136"/>
      <c r="F133" s="137"/>
      <c r="G133" s="137"/>
      <c r="H133" s="137"/>
      <c r="I133" s="137"/>
      <c r="J133" s="138"/>
    </row>
    <row r="134" spans="3:10" ht="20.25" customHeight="1">
      <c r="C134" s="207"/>
      <c r="D134" s="60">
        <v>126</v>
      </c>
      <c r="E134" s="136"/>
      <c r="F134" s="137"/>
      <c r="G134" s="137"/>
      <c r="H134" s="137"/>
      <c r="I134" s="137"/>
      <c r="J134" s="138"/>
    </row>
    <row r="135" spans="3:10" ht="20.25" customHeight="1">
      <c r="C135" s="207"/>
      <c r="D135" s="60">
        <v>127</v>
      </c>
      <c r="E135" s="136"/>
      <c r="F135" s="137"/>
      <c r="G135" s="137"/>
      <c r="H135" s="137"/>
      <c r="I135" s="137"/>
      <c r="J135" s="138"/>
    </row>
    <row r="136" spans="3:10" ht="20.25" customHeight="1">
      <c r="C136" s="207"/>
      <c r="D136" s="60">
        <v>128</v>
      </c>
      <c r="E136" s="136"/>
      <c r="F136" s="137"/>
      <c r="G136" s="137"/>
      <c r="H136" s="137"/>
      <c r="I136" s="137"/>
      <c r="J136" s="138"/>
    </row>
    <row r="137" spans="3:10" ht="20.25" customHeight="1">
      <c r="C137" s="207"/>
      <c r="D137" s="60">
        <v>129</v>
      </c>
      <c r="E137" s="136"/>
      <c r="F137" s="137"/>
      <c r="G137" s="137"/>
      <c r="H137" s="137"/>
      <c r="I137" s="137"/>
      <c r="J137" s="138"/>
    </row>
    <row r="138" spans="3:10" ht="20.25" customHeight="1">
      <c r="C138" s="207"/>
      <c r="D138" s="60">
        <v>130</v>
      </c>
      <c r="E138" s="136"/>
      <c r="F138" s="137"/>
      <c r="G138" s="137"/>
      <c r="H138" s="137"/>
      <c r="I138" s="137"/>
      <c r="J138" s="138"/>
    </row>
    <row r="139" spans="3:10" ht="20.25" customHeight="1">
      <c r="C139" s="207"/>
      <c r="D139" s="60">
        <v>131</v>
      </c>
      <c r="E139" s="136"/>
      <c r="F139" s="137"/>
      <c r="G139" s="137"/>
      <c r="H139" s="137"/>
      <c r="I139" s="137"/>
      <c r="J139" s="138"/>
    </row>
    <row r="140" spans="3:10" ht="20.25" customHeight="1">
      <c r="C140" s="207"/>
      <c r="D140" s="60">
        <v>132</v>
      </c>
      <c r="E140" s="136"/>
      <c r="F140" s="137"/>
      <c r="G140" s="137"/>
      <c r="H140" s="137"/>
      <c r="I140" s="137"/>
      <c r="J140" s="138"/>
    </row>
    <row r="141" spans="3:10" ht="20.25" customHeight="1">
      <c r="C141" s="207"/>
      <c r="D141" s="60">
        <v>133</v>
      </c>
      <c r="E141" s="136"/>
      <c r="F141" s="137"/>
      <c r="G141" s="137"/>
      <c r="H141" s="137"/>
      <c r="I141" s="137"/>
      <c r="J141" s="138"/>
    </row>
    <row r="142" spans="3:10" ht="20.25" customHeight="1">
      <c r="C142" s="207"/>
      <c r="D142" s="60">
        <v>134</v>
      </c>
      <c r="E142" s="136"/>
      <c r="F142" s="137"/>
      <c r="G142" s="137"/>
      <c r="H142" s="137"/>
      <c r="I142" s="137"/>
      <c r="J142" s="138"/>
    </row>
    <row r="143" spans="3:10" ht="20.25" customHeight="1">
      <c r="C143" s="207"/>
      <c r="D143" s="60">
        <v>135</v>
      </c>
      <c r="E143" s="136"/>
      <c r="F143" s="137"/>
      <c r="G143" s="137"/>
      <c r="H143" s="137"/>
      <c r="I143" s="137"/>
      <c r="J143" s="138"/>
    </row>
    <row r="144" spans="3:10" ht="20.25" customHeight="1">
      <c r="C144" s="207"/>
      <c r="D144" s="60">
        <v>136</v>
      </c>
      <c r="E144" s="136"/>
      <c r="F144" s="137"/>
      <c r="G144" s="137"/>
      <c r="H144" s="137"/>
      <c r="I144" s="137"/>
      <c r="J144" s="138"/>
    </row>
    <row r="145" spans="3:10" ht="20.25" customHeight="1">
      <c r="C145" s="207"/>
      <c r="D145" s="60">
        <v>137</v>
      </c>
      <c r="E145" s="136"/>
      <c r="F145" s="137"/>
      <c r="G145" s="137"/>
      <c r="H145" s="137"/>
      <c r="I145" s="137"/>
      <c r="J145" s="138"/>
    </row>
    <row r="146" spans="3:10" ht="20.25" customHeight="1">
      <c r="C146" s="207"/>
      <c r="D146" s="60">
        <v>138</v>
      </c>
      <c r="E146" s="136"/>
      <c r="F146" s="137"/>
      <c r="G146" s="137"/>
      <c r="H146" s="137"/>
      <c r="I146" s="137"/>
      <c r="J146" s="138"/>
    </row>
    <row r="147" spans="3:10" ht="20.25" customHeight="1">
      <c r="C147" s="207"/>
      <c r="D147" s="60">
        <v>139</v>
      </c>
      <c r="E147" s="136"/>
      <c r="F147" s="137"/>
      <c r="G147" s="137"/>
      <c r="H147" s="137"/>
      <c r="I147" s="137"/>
      <c r="J147" s="138"/>
    </row>
    <row r="148" spans="3:10" ht="20.25" customHeight="1">
      <c r="C148" s="207"/>
      <c r="D148" s="60">
        <v>140</v>
      </c>
      <c r="E148" s="136"/>
      <c r="F148" s="137"/>
      <c r="G148" s="137"/>
      <c r="H148" s="137"/>
      <c r="I148" s="137"/>
      <c r="J148" s="138"/>
    </row>
    <row r="149" spans="3:10" ht="20.25" customHeight="1">
      <c r="C149" s="207"/>
      <c r="D149" s="60">
        <v>141</v>
      </c>
      <c r="E149" s="136"/>
      <c r="F149" s="137"/>
      <c r="G149" s="137"/>
      <c r="H149" s="137"/>
      <c r="I149" s="137"/>
      <c r="J149" s="138"/>
    </row>
    <row r="150" spans="3:10" ht="20.25" customHeight="1">
      <c r="C150" s="207"/>
      <c r="D150" s="60">
        <v>142</v>
      </c>
      <c r="E150" s="136"/>
      <c r="F150" s="137"/>
      <c r="G150" s="137"/>
      <c r="H150" s="137"/>
      <c r="I150" s="137"/>
      <c r="J150" s="138"/>
    </row>
    <row r="151" spans="3:10" ht="20.25" customHeight="1">
      <c r="C151" s="207"/>
      <c r="D151" s="60">
        <v>143</v>
      </c>
      <c r="E151" s="136"/>
      <c r="F151" s="137"/>
      <c r="G151" s="137"/>
      <c r="H151" s="137"/>
      <c r="I151" s="137"/>
      <c r="J151" s="138"/>
    </row>
    <row r="152" spans="3:10" ht="20.25" customHeight="1">
      <c r="C152" s="207"/>
      <c r="D152" s="60">
        <v>144</v>
      </c>
      <c r="E152" s="136"/>
      <c r="F152" s="137"/>
      <c r="G152" s="137"/>
      <c r="H152" s="137"/>
      <c r="I152" s="137"/>
      <c r="J152" s="138"/>
    </row>
    <row r="153" spans="3:10" ht="20.25" customHeight="1">
      <c r="C153" s="207"/>
      <c r="D153" s="60">
        <v>145</v>
      </c>
      <c r="E153" s="136"/>
      <c r="F153" s="137"/>
      <c r="G153" s="137"/>
      <c r="H153" s="137"/>
      <c r="I153" s="137"/>
      <c r="J153" s="138"/>
    </row>
    <row r="154" spans="3:10" ht="20.25" customHeight="1">
      <c r="C154" s="207"/>
      <c r="D154" s="60">
        <v>146</v>
      </c>
      <c r="E154" s="136"/>
      <c r="F154" s="137"/>
      <c r="G154" s="137"/>
      <c r="H154" s="137"/>
      <c r="I154" s="137"/>
      <c r="J154" s="138"/>
    </row>
    <row r="155" spans="3:10" ht="20.25" customHeight="1">
      <c r="C155" s="207"/>
      <c r="D155" s="60">
        <v>147</v>
      </c>
      <c r="E155" s="136"/>
      <c r="F155" s="137"/>
      <c r="G155" s="137"/>
      <c r="H155" s="137"/>
      <c r="I155" s="137"/>
      <c r="J155" s="138"/>
    </row>
    <row r="156" spans="3:10" ht="20.25" customHeight="1">
      <c r="C156" s="207"/>
      <c r="D156" s="60">
        <v>148</v>
      </c>
      <c r="E156" s="136"/>
      <c r="F156" s="137"/>
      <c r="G156" s="137"/>
      <c r="H156" s="137"/>
      <c r="I156" s="137"/>
      <c r="J156" s="138"/>
    </row>
    <row r="157" spans="3:10" ht="20.25" customHeight="1">
      <c r="C157" s="207"/>
      <c r="D157" s="60">
        <v>149</v>
      </c>
      <c r="E157" s="136"/>
      <c r="F157" s="137"/>
      <c r="G157" s="137"/>
      <c r="H157" s="137"/>
      <c r="I157" s="137"/>
      <c r="J157" s="138"/>
    </row>
    <row r="158" spans="3:10" ht="20.25" customHeight="1">
      <c r="C158" s="207"/>
      <c r="D158" s="60">
        <v>150</v>
      </c>
      <c r="E158" s="136"/>
      <c r="F158" s="137"/>
      <c r="G158" s="137"/>
      <c r="H158" s="137"/>
      <c r="I158" s="137"/>
      <c r="J158" s="138"/>
    </row>
    <row r="159" spans="3:10" ht="20.25" customHeight="1">
      <c r="C159" s="207"/>
      <c r="D159" s="60">
        <v>151</v>
      </c>
      <c r="E159" s="136"/>
      <c r="F159" s="137"/>
      <c r="G159" s="137"/>
      <c r="H159" s="137"/>
      <c r="I159" s="137"/>
      <c r="J159" s="138"/>
    </row>
    <row r="160" spans="3:10" ht="20.25" customHeight="1">
      <c r="C160" s="207"/>
      <c r="D160" s="60">
        <v>152</v>
      </c>
      <c r="E160" s="136"/>
      <c r="F160" s="137"/>
      <c r="G160" s="137"/>
      <c r="H160" s="137"/>
      <c r="I160" s="137"/>
      <c r="J160" s="138"/>
    </row>
    <row r="161" spans="3:10" ht="20.25" customHeight="1">
      <c r="C161" s="207"/>
      <c r="D161" s="60">
        <v>153</v>
      </c>
      <c r="E161" s="136"/>
      <c r="F161" s="137"/>
      <c r="G161" s="137"/>
      <c r="H161" s="137"/>
      <c r="I161" s="137"/>
      <c r="J161" s="138"/>
    </row>
    <row r="162" spans="3:10" ht="20.25" customHeight="1">
      <c r="C162" s="207"/>
      <c r="D162" s="60">
        <v>154</v>
      </c>
      <c r="E162" s="136"/>
      <c r="F162" s="137"/>
      <c r="G162" s="137"/>
      <c r="H162" s="137"/>
      <c r="I162" s="137"/>
      <c r="J162" s="138"/>
    </row>
    <row r="163" spans="3:10" ht="20.25" customHeight="1">
      <c r="C163" s="207"/>
      <c r="D163" s="60">
        <v>155</v>
      </c>
      <c r="E163" s="136"/>
      <c r="F163" s="137"/>
      <c r="G163" s="137"/>
      <c r="H163" s="137"/>
      <c r="I163" s="137"/>
      <c r="J163" s="138"/>
    </row>
    <row r="164" spans="3:10" ht="20.25" customHeight="1">
      <c r="C164" s="207"/>
      <c r="D164" s="60">
        <v>156</v>
      </c>
      <c r="E164" s="136"/>
      <c r="F164" s="137"/>
      <c r="G164" s="137"/>
      <c r="H164" s="137"/>
      <c r="I164" s="137"/>
      <c r="J164" s="138"/>
    </row>
    <row r="165" spans="3:10" ht="20.25" customHeight="1">
      <c r="C165" s="207"/>
      <c r="D165" s="60">
        <v>157</v>
      </c>
      <c r="E165" s="136"/>
      <c r="F165" s="137"/>
      <c r="G165" s="137"/>
      <c r="H165" s="137"/>
      <c r="I165" s="137"/>
      <c r="J165" s="138"/>
    </row>
    <row r="166" spans="3:10" ht="20.25" customHeight="1">
      <c r="C166" s="207"/>
      <c r="D166" s="60">
        <v>158</v>
      </c>
      <c r="E166" s="136"/>
      <c r="F166" s="137"/>
      <c r="G166" s="137"/>
      <c r="H166" s="137"/>
      <c r="I166" s="137"/>
      <c r="J166" s="138"/>
    </row>
    <row r="167" spans="3:10" ht="20.25" customHeight="1">
      <c r="C167" s="207"/>
      <c r="D167" s="60">
        <v>159</v>
      </c>
      <c r="E167" s="136"/>
      <c r="F167" s="137"/>
      <c r="G167" s="137"/>
      <c r="H167" s="137"/>
      <c r="I167" s="137"/>
      <c r="J167" s="138"/>
    </row>
    <row r="168" spans="3:10" ht="20.25" customHeight="1">
      <c r="C168" s="207"/>
      <c r="D168" s="60">
        <v>160</v>
      </c>
      <c r="E168" s="136"/>
      <c r="F168" s="137"/>
      <c r="G168" s="137"/>
      <c r="H168" s="137"/>
      <c r="I168" s="137"/>
      <c r="J168" s="138"/>
    </row>
    <row r="169" spans="3:10" ht="20.25" customHeight="1">
      <c r="C169" s="207"/>
      <c r="D169" s="60">
        <v>161</v>
      </c>
      <c r="E169" s="136"/>
      <c r="F169" s="137"/>
      <c r="G169" s="137"/>
      <c r="H169" s="137"/>
      <c r="I169" s="137"/>
      <c r="J169" s="138"/>
    </row>
    <row r="170" spans="3:10" ht="20.25" customHeight="1">
      <c r="C170" s="207"/>
      <c r="D170" s="60">
        <v>162</v>
      </c>
      <c r="E170" s="136"/>
      <c r="F170" s="137"/>
      <c r="G170" s="137"/>
      <c r="H170" s="137"/>
      <c r="I170" s="137"/>
      <c r="J170" s="138"/>
    </row>
    <row r="171" spans="3:10" ht="20.25" customHeight="1">
      <c r="C171" s="207"/>
      <c r="D171" s="60">
        <v>163</v>
      </c>
      <c r="E171" s="136"/>
      <c r="F171" s="137"/>
      <c r="G171" s="137"/>
      <c r="H171" s="137"/>
      <c r="I171" s="137"/>
      <c r="J171" s="138"/>
    </row>
    <row r="172" spans="3:10" ht="20.25" customHeight="1">
      <c r="C172" s="207"/>
      <c r="D172" s="60">
        <v>164</v>
      </c>
      <c r="E172" s="136"/>
      <c r="F172" s="137"/>
      <c r="G172" s="137"/>
      <c r="H172" s="137"/>
      <c r="I172" s="137"/>
      <c r="J172" s="138"/>
    </row>
    <row r="173" spans="3:10" ht="20.25" customHeight="1">
      <c r="C173" s="207"/>
      <c r="D173" s="60">
        <v>165</v>
      </c>
      <c r="E173" s="136"/>
      <c r="F173" s="137"/>
      <c r="G173" s="137"/>
      <c r="H173" s="137"/>
      <c r="I173" s="137"/>
      <c r="J173" s="138"/>
    </row>
    <row r="174" spans="3:10" ht="20.25" customHeight="1">
      <c r="C174" s="207"/>
      <c r="D174" s="60">
        <v>166</v>
      </c>
      <c r="E174" s="136"/>
      <c r="F174" s="137"/>
      <c r="G174" s="137"/>
      <c r="H174" s="137"/>
      <c r="I174" s="137"/>
      <c r="J174" s="138"/>
    </row>
    <row r="175" spans="3:10" ht="20.25" customHeight="1">
      <c r="C175" s="207"/>
      <c r="D175" s="60">
        <v>167</v>
      </c>
      <c r="E175" s="136"/>
      <c r="F175" s="137"/>
      <c r="G175" s="137"/>
      <c r="H175" s="137"/>
      <c r="I175" s="137"/>
      <c r="J175" s="138"/>
    </row>
    <row r="176" spans="3:10" ht="20.25" customHeight="1">
      <c r="C176" s="207"/>
      <c r="D176" s="60">
        <v>168</v>
      </c>
      <c r="E176" s="136"/>
      <c r="F176" s="137"/>
      <c r="G176" s="137"/>
      <c r="H176" s="137"/>
      <c r="I176" s="137"/>
      <c r="J176" s="138"/>
    </row>
    <row r="177" spans="3:10" ht="20.25" customHeight="1">
      <c r="C177" s="207"/>
      <c r="D177" s="60">
        <v>169</v>
      </c>
      <c r="E177" s="136"/>
      <c r="F177" s="137"/>
      <c r="G177" s="137"/>
      <c r="H177" s="137"/>
      <c r="I177" s="137"/>
      <c r="J177" s="138"/>
    </row>
    <row r="178" spans="3:10" ht="20.25" customHeight="1">
      <c r="C178" s="207"/>
      <c r="D178" s="60">
        <v>170</v>
      </c>
      <c r="E178" s="136"/>
      <c r="F178" s="137"/>
      <c r="G178" s="137"/>
      <c r="H178" s="137"/>
      <c r="I178" s="137"/>
      <c r="J178" s="138"/>
    </row>
    <row r="179" spans="3:10" ht="20.25" customHeight="1">
      <c r="C179" s="207"/>
      <c r="D179" s="60">
        <v>171</v>
      </c>
      <c r="E179" s="136"/>
      <c r="F179" s="137"/>
      <c r="G179" s="137"/>
      <c r="H179" s="137"/>
      <c r="I179" s="137"/>
      <c r="J179" s="138"/>
    </row>
    <row r="180" spans="3:10" ht="20.25" customHeight="1">
      <c r="C180" s="207"/>
      <c r="D180" s="60">
        <v>172</v>
      </c>
      <c r="E180" s="136"/>
      <c r="F180" s="137"/>
      <c r="G180" s="137"/>
      <c r="H180" s="137"/>
      <c r="I180" s="137"/>
      <c r="J180" s="138"/>
    </row>
    <row r="181" spans="3:10" ht="20.25" customHeight="1">
      <c r="C181" s="207"/>
      <c r="D181" s="60">
        <v>173</v>
      </c>
      <c r="E181" s="136"/>
      <c r="F181" s="137"/>
      <c r="G181" s="137"/>
      <c r="H181" s="137"/>
      <c r="I181" s="137"/>
      <c r="J181" s="138"/>
    </row>
    <row r="182" spans="3:10" ht="20.25" customHeight="1">
      <c r="C182" s="207"/>
      <c r="D182" s="60">
        <v>174</v>
      </c>
      <c r="E182" s="136"/>
      <c r="F182" s="137"/>
      <c r="G182" s="137"/>
      <c r="H182" s="137"/>
      <c r="I182" s="137"/>
      <c r="J182" s="138"/>
    </row>
    <row r="183" spans="3:10" ht="20.25" customHeight="1">
      <c r="C183" s="207"/>
      <c r="D183" s="60">
        <v>175</v>
      </c>
      <c r="E183" s="136"/>
      <c r="F183" s="137"/>
      <c r="G183" s="137"/>
      <c r="H183" s="137"/>
      <c r="I183" s="137"/>
      <c r="J183" s="138"/>
    </row>
    <row r="184" spans="3:10" ht="20.25" customHeight="1">
      <c r="C184" s="207"/>
      <c r="D184" s="60">
        <v>176</v>
      </c>
      <c r="E184" s="136"/>
      <c r="F184" s="137"/>
      <c r="G184" s="137"/>
      <c r="H184" s="137"/>
      <c r="I184" s="137"/>
      <c r="J184" s="138"/>
    </row>
    <row r="185" spans="3:10" ht="20.25" customHeight="1">
      <c r="C185" s="207"/>
      <c r="D185" s="60">
        <v>177</v>
      </c>
      <c r="E185" s="136"/>
      <c r="F185" s="137"/>
      <c r="G185" s="137"/>
      <c r="H185" s="137"/>
      <c r="I185" s="137"/>
      <c r="J185" s="138"/>
    </row>
    <row r="186" spans="3:10" ht="20.25" customHeight="1">
      <c r="C186" s="207"/>
      <c r="D186" s="60">
        <v>178</v>
      </c>
      <c r="E186" s="136"/>
      <c r="F186" s="137"/>
      <c r="G186" s="137"/>
      <c r="H186" s="137"/>
      <c r="I186" s="137"/>
      <c r="J186" s="138"/>
    </row>
    <row r="187" spans="3:10" ht="20.25" customHeight="1">
      <c r="C187" s="207"/>
      <c r="D187" s="60">
        <v>179</v>
      </c>
      <c r="E187" s="136"/>
      <c r="F187" s="137"/>
      <c r="G187" s="137"/>
      <c r="H187" s="137"/>
      <c r="I187" s="137"/>
      <c r="J187" s="138"/>
    </row>
    <row r="188" spans="3:10" ht="20.25" customHeight="1">
      <c r="C188" s="207"/>
      <c r="D188" s="60">
        <v>180</v>
      </c>
      <c r="E188" s="136"/>
      <c r="F188" s="137"/>
      <c r="G188" s="137"/>
      <c r="H188" s="137"/>
      <c r="I188" s="137"/>
      <c r="J188" s="138"/>
    </row>
    <row r="189" spans="3:10" ht="20.25" customHeight="1">
      <c r="C189" s="207"/>
      <c r="D189" s="60">
        <v>181</v>
      </c>
      <c r="E189" s="136"/>
      <c r="F189" s="137"/>
      <c r="G189" s="137"/>
      <c r="H189" s="137"/>
      <c r="I189" s="137"/>
      <c r="J189" s="138"/>
    </row>
    <row r="190" spans="3:10" ht="20.25" customHeight="1">
      <c r="C190" s="207"/>
      <c r="D190" s="60">
        <v>182</v>
      </c>
      <c r="E190" s="136"/>
      <c r="F190" s="137"/>
      <c r="G190" s="137"/>
      <c r="H190" s="137"/>
      <c r="I190" s="137"/>
      <c r="J190" s="138"/>
    </row>
    <row r="191" spans="3:10" ht="20.25" customHeight="1">
      <c r="C191" s="207"/>
      <c r="D191" s="60">
        <v>183</v>
      </c>
      <c r="E191" s="136"/>
      <c r="F191" s="137"/>
      <c r="G191" s="137"/>
      <c r="H191" s="137"/>
      <c r="I191" s="137"/>
      <c r="J191" s="138"/>
    </row>
    <row r="192" spans="3:10" ht="20.25" customHeight="1">
      <c r="C192" s="207"/>
      <c r="D192" s="60">
        <v>184</v>
      </c>
      <c r="E192" s="136"/>
      <c r="F192" s="137"/>
      <c r="G192" s="137"/>
      <c r="H192" s="137"/>
      <c r="I192" s="137"/>
      <c r="J192" s="138"/>
    </row>
    <row r="193" spans="3:10" ht="20.25" customHeight="1">
      <c r="C193" s="207"/>
      <c r="D193" s="60">
        <v>185</v>
      </c>
      <c r="E193" s="136"/>
      <c r="F193" s="137"/>
      <c r="G193" s="137"/>
      <c r="H193" s="137"/>
      <c r="I193" s="137"/>
      <c r="J193" s="138"/>
    </row>
    <row r="194" spans="3:10" ht="20.25" customHeight="1">
      <c r="C194" s="207"/>
      <c r="D194" s="60">
        <v>186</v>
      </c>
      <c r="E194" s="136"/>
      <c r="F194" s="137"/>
      <c r="G194" s="137"/>
      <c r="H194" s="137"/>
      <c r="I194" s="137"/>
      <c r="J194" s="138"/>
    </row>
    <row r="195" spans="3:10" ht="20.25" customHeight="1">
      <c r="C195" s="207"/>
      <c r="D195" s="60">
        <v>187</v>
      </c>
      <c r="E195" s="136"/>
      <c r="F195" s="137"/>
      <c r="G195" s="137"/>
      <c r="H195" s="137"/>
      <c r="I195" s="137"/>
      <c r="J195" s="138"/>
    </row>
    <row r="196" spans="3:10" ht="20.25" customHeight="1">
      <c r="C196" s="207"/>
      <c r="D196" s="60">
        <v>188</v>
      </c>
      <c r="E196" s="136"/>
      <c r="F196" s="137"/>
      <c r="G196" s="137"/>
      <c r="H196" s="137"/>
      <c r="I196" s="137"/>
      <c r="J196" s="138"/>
    </row>
    <row r="197" spans="3:10" ht="20.25" customHeight="1">
      <c r="C197" s="207"/>
      <c r="D197" s="60">
        <v>189</v>
      </c>
      <c r="E197" s="136"/>
      <c r="F197" s="137"/>
      <c r="G197" s="137"/>
      <c r="H197" s="137"/>
      <c r="I197" s="137"/>
      <c r="J197" s="138"/>
    </row>
    <row r="198" spans="3:10" ht="20.25" customHeight="1">
      <c r="C198" s="207"/>
      <c r="D198" s="60">
        <v>190</v>
      </c>
      <c r="E198" s="136"/>
      <c r="F198" s="137"/>
      <c r="G198" s="137"/>
      <c r="H198" s="137"/>
      <c r="I198" s="137"/>
      <c r="J198" s="138"/>
    </row>
    <row r="199" spans="3:10" ht="20.25" customHeight="1">
      <c r="C199" s="207"/>
      <c r="D199" s="60">
        <v>191</v>
      </c>
      <c r="E199" s="136"/>
      <c r="F199" s="137"/>
      <c r="G199" s="137"/>
      <c r="H199" s="137"/>
      <c r="I199" s="137"/>
      <c r="J199" s="138"/>
    </row>
    <row r="200" spans="3:10" ht="20.25" customHeight="1">
      <c r="C200" s="207"/>
      <c r="D200" s="60">
        <v>192</v>
      </c>
      <c r="E200" s="136"/>
      <c r="F200" s="137"/>
      <c r="G200" s="137"/>
      <c r="H200" s="137"/>
      <c r="I200" s="137"/>
      <c r="J200" s="138"/>
    </row>
    <row r="201" spans="3:10" ht="20.25" customHeight="1">
      <c r="C201" s="207"/>
      <c r="D201" s="60">
        <v>193</v>
      </c>
      <c r="E201" s="136"/>
      <c r="F201" s="137"/>
      <c r="G201" s="137"/>
      <c r="H201" s="137"/>
      <c r="I201" s="137"/>
      <c r="J201" s="138"/>
    </row>
    <row r="202" spans="3:10" ht="20.25" customHeight="1">
      <c r="C202" s="207"/>
      <c r="D202" s="60">
        <v>194</v>
      </c>
      <c r="E202" s="136"/>
      <c r="F202" s="137"/>
      <c r="G202" s="137"/>
      <c r="H202" s="137"/>
      <c r="I202" s="137"/>
      <c r="J202" s="138"/>
    </row>
    <row r="203" spans="3:10" ht="20.25" customHeight="1">
      <c r="C203" s="207"/>
      <c r="D203" s="60">
        <v>195</v>
      </c>
      <c r="E203" s="136"/>
      <c r="F203" s="137"/>
      <c r="G203" s="137"/>
      <c r="H203" s="137"/>
      <c r="I203" s="137"/>
      <c r="J203" s="138"/>
    </row>
    <row r="204" spans="3:10" ht="20.25" customHeight="1">
      <c r="C204" s="207"/>
      <c r="D204" s="60">
        <v>196</v>
      </c>
      <c r="E204" s="136"/>
      <c r="F204" s="137"/>
      <c r="G204" s="137"/>
      <c r="H204" s="137"/>
      <c r="I204" s="137"/>
      <c r="J204" s="138"/>
    </row>
    <row r="205" spans="3:10" ht="20.25" customHeight="1">
      <c r="C205" s="207"/>
      <c r="D205" s="60">
        <v>197</v>
      </c>
      <c r="E205" s="136"/>
      <c r="F205" s="137"/>
      <c r="G205" s="137"/>
      <c r="H205" s="137"/>
      <c r="I205" s="137"/>
      <c r="J205" s="138"/>
    </row>
    <row r="206" spans="3:10" ht="20.25" customHeight="1">
      <c r="C206" s="207"/>
      <c r="D206" s="60">
        <v>198</v>
      </c>
      <c r="E206" s="136"/>
      <c r="F206" s="137"/>
      <c r="G206" s="137"/>
      <c r="H206" s="137"/>
      <c r="I206" s="137"/>
      <c r="J206" s="138"/>
    </row>
    <row r="207" spans="3:10" ht="20.25" customHeight="1">
      <c r="C207" s="207"/>
      <c r="D207" s="60">
        <v>199</v>
      </c>
      <c r="E207" s="136"/>
      <c r="F207" s="137"/>
      <c r="G207" s="137"/>
      <c r="H207" s="137"/>
      <c r="I207" s="137"/>
      <c r="J207" s="138"/>
    </row>
    <row r="208" spans="3:10" ht="20.25" customHeight="1">
      <c r="C208" s="207"/>
      <c r="D208" s="60">
        <v>200</v>
      </c>
      <c r="E208" s="136"/>
      <c r="F208" s="137"/>
      <c r="G208" s="137"/>
      <c r="H208" s="137"/>
      <c r="I208" s="137"/>
      <c r="J208" s="138"/>
    </row>
    <row r="209" spans="3:10" ht="20.25" customHeight="1">
      <c r="C209" s="207"/>
      <c r="D209" s="60">
        <v>201</v>
      </c>
      <c r="E209" s="136"/>
      <c r="F209" s="137"/>
      <c r="G209" s="137"/>
      <c r="H209" s="137"/>
      <c r="I209" s="137"/>
      <c r="J209" s="138"/>
    </row>
    <row r="210" spans="3:10" ht="20.25" customHeight="1">
      <c r="C210" s="207"/>
      <c r="D210" s="60">
        <v>202</v>
      </c>
      <c r="E210" s="136"/>
      <c r="F210" s="137"/>
      <c r="G210" s="137"/>
      <c r="H210" s="137"/>
      <c r="I210" s="137"/>
      <c r="J210" s="138"/>
    </row>
    <row r="211" spans="3:10" ht="20.25" customHeight="1">
      <c r="C211" s="207"/>
      <c r="D211" s="60">
        <v>203</v>
      </c>
      <c r="E211" s="136"/>
      <c r="F211" s="137"/>
      <c r="G211" s="137"/>
      <c r="H211" s="137"/>
      <c r="I211" s="137"/>
      <c r="J211" s="138"/>
    </row>
    <row r="212" spans="3:10" ht="20.25" customHeight="1">
      <c r="C212" s="207"/>
      <c r="D212" s="60">
        <v>204</v>
      </c>
      <c r="E212" s="136"/>
      <c r="F212" s="137"/>
      <c r="G212" s="137"/>
      <c r="H212" s="137"/>
      <c r="I212" s="137"/>
      <c r="J212" s="138"/>
    </row>
    <row r="213" spans="3:10" ht="20.25" customHeight="1">
      <c r="C213" s="207"/>
      <c r="D213" s="60">
        <v>205</v>
      </c>
      <c r="E213" s="136"/>
      <c r="F213" s="137"/>
      <c r="G213" s="137"/>
      <c r="H213" s="137"/>
      <c r="I213" s="137"/>
      <c r="J213" s="138"/>
    </row>
    <row r="214" spans="3:10" ht="20.25" customHeight="1">
      <c r="C214" s="207"/>
      <c r="D214" s="60">
        <v>206</v>
      </c>
      <c r="E214" s="136"/>
      <c r="F214" s="137"/>
      <c r="G214" s="137"/>
      <c r="H214" s="137"/>
      <c r="I214" s="137"/>
      <c r="J214" s="138"/>
    </row>
    <row r="215" spans="3:10" ht="20.25" customHeight="1">
      <c r="C215" s="207"/>
      <c r="D215" s="60">
        <v>207</v>
      </c>
      <c r="E215" s="136"/>
      <c r="F215" s="137"/>
      <c r="G215" s="137"/>
      <c r="H215" s="137"/>
      <c r="I215" s="137"/>
      <c r="J215" s="138"/>
    </row>
    <row r="216" spans="3:10" ht="20.25" customHeight="1">
      <c r="C216" s="207"/>
      <c r="D216" s="60">
        <v>208</v>
      </c>
      <c r="E216" s="136"/>
      <c r="F216" s="137"/>
      <c r="G216" s="137"/>
      <c r="H216" s="137"/>
      <c r="I216" s="137"/>
      <c r="J216" s="138"/>
    </row>
    <row r="217" spans="3:10" ht="20.25" customHeight="1">
      <c r="C217" s="207"/>
      <c r="D217" s="60">
        <v>209</v>
      </c>
      <c r="E217" s="136"/>
      <c r="F217" s="137"/>
      <c r="G217" s="137"/>
      <c r="H217" s="137"/>
      <c r="I217" s="137"/>
      <c r="J217" s="138"/>
    </row>
    <row r="218" spans="3:10" ht="20.25" customHeight="1">
      <c r="C218" s="207"/>
      <c r="D218" s="60">
        <v>210</v>
      </c>
      <c r="E218" s="136"/>
      <c r="F218" s="137"/>
      <c r="G218" s="137"/>
      <c r="H218" s="137"/>
      <c r="I218" s="137"/>
      <c r="J218" s="138"/>
    </row>
    <row r="219" spans="3:10" ht="20.25" customHeight="1">
      <c r="C219" s="207"/>
      <c r="D219" s="60">
        <v>211</v>
      </c>
      <c r="E219" s="136"/>
      <c r="F219" s="137"/>
      <c r="G219" s="137"/>
      <c r="H219" s="137"/>
      <c r="I219" s="137"/>
      <c r="J219" s="138"/>
    </row>
    <row r="220" spans="3:10" ht="20.25" customHeight="1">
      <c r="C220" s="207"/>
      <c r="D220" s="60">
        <v>212</v>
      </c>
      <c r="E220" s="136"/>
      <c r="F220" s="137"/>
      <c r="G220" s="137"/>
      <c r="H220" s="137"/>
      <c r="I220" s="137"/>
      <c r="J220" s="138"/>
    </row>
    <row r="221" spans="3:10" ht="20.25" customHeight="1">
      <c r="C221" s="207"/>
      <c r="D221" s="60">
        <v>213</v>
      </c>
      <c r="E221" s="136"/>
      <c r="F221" s="137"/>
      <c r="G221" s="137"/>
      <c r="H221" s="137"/>
      <c r="I221" s="137"/>
      <c r="J221" s="138"/>
    </row>
    <row r="222" spans="3:10" ht="20.25" customHeight="1">
      <c r="C222" s="207"/>
      <c r="D222" s="60">
        <v>214</v>
      </c>
      <c r="E222" s="136"/>
      <c r="F222" s="137"/>
      <c r="G222" s="137"/>
      <c r="H222" s="137"/>
      <c r="I222" s="137"/>
      <c r="J222" s="138"/>
    </row>
    <row r="223" spans="3:10" ht="20.25" customHeight="1">
      <c r="C223" s="207"/>
      <c r="D223" s="60">
        <v>215</v>
      </c>
      <c r="E223" s="136"/>
      <c r="F223" s="137"/>
      <c r="G223" s="137"/>
      <c r="H223" s="137"/>
      <c r="I223" s="137"/>
      <c r="J223" s="138"/>
    </row>
    <row r="224" spans="3:10" ht="20.25" customHeight="1">
      <c r="C224" s="207"/>
      <c r="D224" s="60">
        <v>216</v>
      </c>
      <c r="E224" s="136"/>
      <c r="F224" s="137"/>
      <c r="G224" s="137"/>
      <c r="H224" s="137"/>
      <c r="I224" s="137"/>
      <c r="J224" s="138"/>
    </row>
    <row r="225" spans="3:10" ht="20.25" customHeight="1">
      <c r="C225" s="207"/>
      <c r="D225" s="60">
        <v>217</v>
      </c>
      <c r="E225" s="136"/>
      <c r="F225" s="137"/>
      <c r="G225" s="137"/>
      <c r="H225" s="137"/>
      <c r="I225" s="137"/>
      <c r="J225" s="138"/>
    </row>
    <row r="226" spans="3:10" ht="20.25" customHeight="1">
      <c r="C226" s="207"/>
      <c r="D226" s="60">
        <v>218</v>
      </c>
      <c r="E226" s="136"/>
      <c r="F226" s="137"/>
      <c r="G226" s="137"/>
      <c r="H226" s="137"/>
      <c r="I226" s="137"/>
      <c r="J226" s="138"/>
    </row>
    <row r="227" spans="3:10" ht="20.25" customHeight="1">
      <c r="C227" s="207"/>
      <c r="D227" s="60">
        <v>219</v>
      </c>
      <c r="E227" s="136"/>
      <c r="F227" s="137"/>
      <c r="G227" s="137"/>
      <c r="H227" s="137"/>
      <c r="I227" s="137"/>
      <c r="J227" s="138"/>
    </row>
    <row r="228" spans="3:10" ht="20.25" customHeight="1">
      <c r="C228" s="207"/>
      <c r="D228" s="60">
        <v>220</v>
      </c>
      <c r="E228" s="136"/>
      <c r="F228" s="137"/>
      <c r="G228" s="137"/>
      <c r="H228" s="137"/>
      <c r="I228" s="137"/>
      <c r="J228" s="138"/>
    </row>
    <row r="229" spans="3:10" ht="20.25" customHeight="1">
      <c r="C229" s="207"/>
      <c r="D229" s="60">
        <v>221</v>
      </c>
      <c r="E229" s="136"/>
      <c r="F229" s="137"/>
      <c r="G229" s="137"/>
      <c r="H229" s="137"/>
      <c r="I229" s="137"/>
      <c r="J229" s="138"/>
    </row>
    <row r="230" spans="3:10" ht="20.25" customHeight="1">
      <c r="C230" s="207"/>
      <c r="D230" s="60">
        <v>222</v>
      </c>
      <c r="E230" s="136"/>
      <c r="F230" s="137"/>
      <c r="G230" s="137"/>
      <c r="H230" s="137"/>
      <c r="I230" s="137"/>
      <c r="J230" s="138"/>
    </row>
    <row r="231" spans="3:10" ht="20.25" customHeight="1">
      <c r="C231" s="207"/>
      <c r="D231" s="60">
        <v>223</v>
      </c>
      <c r="E231" s="136"/>
      <c r="F231" s="137"/>
      <c r="G231" s="137"/>
      <c r="H231" s="137"/>
      <c r="I231" s="137"/>
      <c r="J231" s="138"/>
    </row>
    <row r="232" spans="3:10" ht="20.25" customHeight="1">
      <c r="C232" s="207"/>
      <c r="D232" s="60">
        <v>224</v>
      </c>
      <c r="E232" s="136"/>
      <c r="F232" s="137"/>
      <c r="G232" s="137"/>
      <c r="H232" s="137"/>
      <c r="I232" s="137"/>
      <c r="J232" s="138"/>
    </row>
    <row r="233" spans="3:10" ht="20.25" customHeight="1">
      <c r="C233" s="207"/>
      <c r="D233" s="60">
        <v>225</v>
      </c>
      <c r="E233" s="136"/>
      <c r="F233" s="137"/>
      <c r="G233" s="137"/>
      <c r="H233" s="137"/>
      <c r="I233" s="137"/>
      <c r="J233" s="138"/>
    </row>
    <row r="234" spans="3:10" ht="20.25" customHeight="1">
      <c r="C234" s="207"/>
      <c r="D234" s="60">
        <v>226</v>
      </c>
      <c r="E234" s="136"/>
      <c r="F234" s="137"/>
      <c r="G234" s="137"/>
      <c r="H234" s="137"/>
      <c r="I234" s="137"/>
      <c r="J234" s="138"/>
    </row>
    <row r="235" spans="3:10" ht="20.25" customHeight="1">
      <c r="C235" s="207"/>
      <c r="D235" s="60">
        <v>227</v>
      </c>
      <c r="E235" s="136"/>
      <c r="F235" s="137"/>
      <c r="G235" s="137"/>
      <c r="H235" s="137"/>
      <c r="I235" s="137"/>
      <c r="J235" s="138"/>
    </row>
    <row r="236" spans="3:10" ht="20.25" customHeight="1">
      <c r="C236" s="207"/>
      <c r="D236" s="60">
        <v>228</v>
      </c>
      <c r="E236" s="136"/>
      <c r="F236" s="137"/>
      <c r="G236" s="137"/>
      <c r="H236" s="137"/>
      <c r="I236" s="137"/>
      <c r="J236" s="138"/>
    </row>
    <row r="237" spans="3:10" ht="20.25" customHeight="1">
      <c r="C237" s="207"/>
      <c r="D237" s="60">
        <v>229</v>
      </c>
      <c r="E237" s="136"/>
      <c r="F237" s="137"/>
      <c r="G237" s="137"/>
      <c r="H237" s="137"/>
      <c r="I237" s="137"/>
      <c r="J237" s="138"/>
    </row>
    <row r="238" spans="3:10" ht="20.25" customHeight="1">
      <c r="C238" s="207"/>
      <c r="D238" s="60">
        <v>230</v>
      </c>
      <c r="E238" s="136"/>
      <c r="F238" s="137"/>
      <c r="G238" s="137"/>
      <c r="H238" s="137"/>
      <c r="I238" s="137"/>
      <c r="J238" s="138"/>
    </row>
    <row r="239" spans="3:10" ht="20.25" customHeight="1">
      <c r="C239" s="207"/>
      <c r="D239" s="60">
        <v>231</v>
      </c>
      <c r="E239" s="136"/>
      <c r="F239" s="137"/>
      <c r="G239" s="137"/>
      <c r="H239" s="137"/>
      <c r="I239" s="137"/>
      <c r="J239" s="138"/>
    </row>
    <row r="240" spans="3:10" ht="20.25" customHeight="1">
      <c r="C240" s="207"/>
      <c r="D240" s="60">
        <v>232</v>
      </c>
      <c r="E240" s="136"/>
      <c r="F240" s="137"/>
      <c r="G240" s="137"/>
      <c r="H240" s="137"/>
      <c r="I240" s="137"/>
      <c r="J240" s="138"/>
    </row>
    <row r="241" spans="3:10" ht="20.25" customHeight="1">
      <c r="C241" s="207"/>
      <c r="D241" s="60">
        <v>233</v>
      </c>
      <c r="E241" s="136"/>
      <c r="F241" s="137"/>
      <c r="G241" s="137"/>
      <c r="H241" s="137"/>
      <c r="I241" s="137"/>
      <c r="J241" s="138"/>
    </row>
    <row r="242" spans="3:10" ht="20.25" customHeight="1">
      <c r="C242" s="207"/>
      <c r="D242" s="60">
        <v>234</v>
      </c>
      <c r="E242" s="136"/>
      <c r="F242" s="137"/>
      <c r="G242" s="137"/>
      <c r="H242" s="137"/>
      <c r="I242" s="137"/>
      <c r="J242" s="138"/>
    </row>
    <row r="243" spans="3:10" ht="20.25" customHeight="1">
      <c r="C243" s="207"/>
      <c r="D243" s="60">
        <v>235</v>
      </c>
      <c r="E243" s="136"/>
      <c r="F243" s="137"/>
      <c r="G243" s="137"/>
      <c r="H243" s="137"/>
      <c r="I243" s="137"/>
      <c r="J243" s="138"/>
    </row>
    <row r="244" spans="3:10" ht="20.25" customHeight="1">
      <c r="C244" s="207"/>
      <c r="D244" s="60">
        <v>236</v>
      </c>
      <c r="E244" s="136"/>
      <c r="F244" s="137"/>
      <c r="G244" s="137"/>
      <c r="H244" s="137"/>
      <c r="I244" s="137"/>
      <c r="J244" s="138"/>
    </row>
    <row r="245" spans="3:10" ht="20.25" customHeight="1">
      <c r="C245" s="207"/>
      <c r="D245" s="60">
        <v>237</v>
      </c>
      <c r="E245" s="136"/>
      <c r="F245" s="137"/>
      <c r="G245" s="137"/>
      <c r="H245" s="137"/>
      <c r="I245" s="137"/>
      <c r="J245" s="138"/>
    </row>
    <row r="246" spans="3:10" ht="20.25" customHeight="1">
      <c r="C246" s="207"/>
      <c r="D246" s="60">
        <v>238</v>
      </c>
      <c r="E246" s="136"/>
      <c r="F246" s="137"/>
      <c r="G246" s="137"/>
      <c r="H246" s="137"/>
      <c r="I246" s="137"/>
      <c r="J246" s="138"/>
    </row>
    <row r="247" spans="3:10" ht="20.25" customHeight="1">
      <c r="C247" s="207"/>
      <c r="D247" s="60">
        <v>239</v>
      </c>
      <c r="E247" s="136"/>
      <c r="F247" s="137"/>
      <c r="G247" s="137"/>
      <c r="H247" s="137"/>
      <c r="I247" s="137"/>
      <c r="J247" s="138"/>
    </row>
    <row r="248" spans="3:10" ht="20.25" customHeight="1">
      <c r="C248" s="207"/>
      <c r="D248" s="60">
        <v>240</v>
      </c>
      <c r="E248" s="136"/>
      <c r="F248" s="137"/>
      <c r="G248" s="137"/>
      <c r="H248" s="137"/>
      <c r="I248" s="137"/>
      <c r="J248" s="138"/>
    </row>
    <row r="249" spans="3:10" ht="20.25" customHeight="1">
      <c r="C249" s="207"/>
      <c r="D249" s="60">
        <v>241</v>
      </c>
      <c r="E249" s="136"/>
      <c r="F249" s="137"/>
      <c r="G249" s="137"/>
      <c r="H249" s="137"/>
      <c r="I249" s="137"/>
      <c r="J249" s="138"/>
    </row>
    <row r="250" spans="3:10" ht="20.25" customHeight="1">
      <c r="C250" s="207"/>
      <c r="D250" s="60">
        <v>242</v>
      </c>
      <c r="E250" s="136"/>
      <c r="F250" s="137"/>
      <c r="G250" s="137"/>
      <c r="H250" s="137"/>
      <c r="I250" s="137"/>
      <c r="J250" s="138"/>
    </row>
    <row r="251" spans="3:10" ht="20.25" customHeight="1">
      <c r="C251" s="207"/>
      <c r="D251" s="60">
        <v>243</v>
      </c>
      <c r="E251" s="136"/>
      <c r="F251" s="137"/>
      <c r="G251" s="137"/>
      <c r="H251" s="137"/>
      <c r="I251" s="137"/>
      <c r="J251" s="138"/>
    </row>
    <row r="252" spans="3:10" ht="20.25" customHeight="1">
      <c r="C252" s="207"/>
      <c r="D252" s="60">
        <v>244</v>
      </c>
      <c r="E252" s="136"/>
      <c r="F252" s="137"/>
      <c r="G252" s="137"/>
      <c r="H252" s="137"/>
      <c r="I252" s="137"/>
      <c r="J252" s="138"/>
    </row>
    <row r="253" spans="3:10" ht="20.25" customHeight="1">
      <c r="C253" s="207"/>
      <c r="D253" s="60">
        <v>245</v>
      </c>
      <c r="E253" s="136"/>
      <c r="F253" s="137"/>
      <c r="G253" s="137"/>
      <c r="H253" s="137"/>
      <c r="I253" s="137"/>
      <c r="J253" s="138"/>
    </row>
    <row r="254" spans="3:10" ht="20.25" customHeight="1">
      <c r="C254" s="207"/>
      <c r="D254" s="60">
        <v>246</v>
      </c>
      <c r="E254" s="136"/>
      <c r="F254" s="137"/>
      <c r="G254" s="137"/>
      <c r="H254" s="137"/>
      <c r="I254" s="137"/>
      <c r="J254" s="138"/>
    </row>
    <row r="255" spans="3:10" ht="20.25" customHeight="1">
      <c r="C255" s="207"/>
      <c r="D255" s="60">
        <v>247</v>
      </c>
      <c r="E255" s="136"/>
      <c r="F255" s="137"/>
      <c r="G255" s="137"/>
      <c r="H255" s="137"/>
      <c r="I255" s="137"/>
      <c r="J255" s="138"/>
    </row>
    <row r="256" spans="3:10" ht="20.25" customHeight="1">
      <c r="C256" s="207"/>
      <c r="D256" s="60">
        <v>248</v>
      </c>
      <c r="E256" s="136"/>
      <c r="F256" s="137"/>
      <c r="G256" s="137"/>
      <c r="H256" s="137"/>
      <c r="I256" s="137"/>
      <c r="J256" s="138"/>
    </row>
    <row r="257" spans="3:10" ht="20.25" customHeight="1">
      <c r="C257" s="207"/>
      <c r="D257" s="60">
        <v>249</v>
      </c>
      <c r="E257" s="136"/>
      <c r="F257" s="137"/>
      <c r="G257" s="137"/>
      <c r="H257" s="137"/>
      <c r="I257" s="137"/>
      <c r="J257" s="138"/>
    </row>
    <row r="258" spans="3:10" ht="20.25" customHeight="1">
      <c r="C258" s="207"/>
      <c r="D258" s="60">
        <v>250</v>
      </c>
      <c r="E258" s="136"/>
      <c r="F258" s="137"/>
      <c r="G258" s="137"/>
      <c r="H258" s="137"/>
      <c r="I258" s="137"/>
      <c r="J258" s="138"/>
    </row>
    <row r="259" spans="3:10" ht="20.25" customHeight="1">
      <c r="C259" s="207"/>
      <c r="D259" s="60">
        <v>251</v>
      </c>
      <c r="E259" s="136"/>
      <c r="F259" s="137"/>
      <c r="G259" s="137"/>
      <c r="H259" s="137"/>
      <c r="I259" s="137"/>
      <c r="J259" s="138"/>
    </row>
    <row r="260" spans="3:10" ht="20.25" customHeight="1">
      <c r="C260" s="207"/>
      <c r="D260" s="60">
        <v>252</v>
      </c>
      <c r="E260" s="136"/>
      <c r="F260" s="137"/>
      <c r="G260" s="137"/>
      <c r="H260" s="137"/>
      <c r="I260" s="137"/>
      <c r="J260" s="138"/>
    </row>
    <row r="261" spans="3:10" ht="20.25" customHeight="1">
      <c r="C261" s="207"/>
      <c r="D261" s="60">
        <v>253</v>
      </c>
      <c r="E261" s="136"/>
      <c r="F261" s="137"/>
      <c r="G261" s="137"/>
      <c r="H261" s="137"/>
      <c r="I261" s="137"/>
      <c r="J261" s="138"/>
    </row>
    <row r="262" spans="3:10" ht="20.25" customHeight="1">
      <c r="C262" s="207"/>
      <c r="D262" s="60">
        <v>254</v>
      </c>
      <c r="E262" s="136"/>
      <c r="F262" s="137"/>
      <c r="G262" s="137"/>
      <c r="H262" s="137"/>
      <c r="I262" s="137"/>
      <c r="J262" s="138"/>
    </row>
    <row r="263" spans="3:10" ht="20.25" customHeight="1">
      <c r="C263" s="207"/>
      <c r="D263" s="60">
        <v>255</v>
      </c>
      <c r="E263" s="136"/>
      <c r="F263" s="137"/>
      <c r="G263" s="137"/>
      <c r="H263" s="137"/>
      <c r="I263" s="137"/>
      <c r="J263" s="138"/>
    </row>
    <row r="264" spans="3:10" ht="20.25" customHeight="1">
      <c r="C264" s="207"/>
      <c r="D264" s="60">
        <v>256</v>
      </c>
      <c r="E264" s="136"/>
      <c r="F264" s="137"/>
      <c r="G264" s="137"/>
      <c r="H264" s="137"/>
      <c r="I264" s="137"/>
      <c r="J264" s="138"/>
    </row>
    <row r="265" spans="3:10" ht="20.25" customHeight="1">
      <c r="C265" s="207"/>
      <c r="D265" s="60">
        <v>257</v>
      </c>
      <c r="E265" s="136"/>
      <c r="F265" s="137"/>
      <c r="G265" s="137"/>
      <c r="H265" s="137"/>
      <c r="I265" s="137"/>
      <c r="J265" s="138"/>
    </row>
    <row r="266" spans="3:10" ht="20.25" customHeight="1">
      <c r="C266" s="207"/>
      <c r="D266" s="60">
        <v>258</v>
      </c>
      <c r="E266" s="136"/>
      <c r="F266" s="137"/>
      <c r="G266" s="137"/>
      <c r="H266" s="137"/>
      <c r="I266" s="137"/>
      <c r="J266" s="138"/>
    </row>
    <row r="267" spans="3:10" ht="20.25" customHeight="1">
      <c r="C267" s="207"/>
      <c r="D267" s="60">
        <v>259</v>
      </c>
      <c r="E267" s="136"/>
      <c r="F267" s="137"/>
      <c r="G267" s="137"/>
      <c r="H267" s="137"/>
      <c r="I267" s="137"/>
      <c r="J267" s="138"/>
    </row>
    <row r="268" spans="3:10" ht="20.25" customHeight="1">
      <c r="C268" s="207"/>
      <c r="D268" s="60">
        <v>260</v>
      </c>
      <c r="E268" s="136"/>
      <c r="F268" s="137"/>
      <c r="G268" s="137"/>
      <c r="H268" s="137"/>
      <c r="I268" s="137"/>
      <c r="J268" s="138"/>
    </row>
    <row r="269" spans="3:10" ht="20.25" customHeight="1">
      <c r="C269" s="207"/>
      <c r="D269" s="60">
        <v>261</v>
      </c>
      <c r="E269" s="136"/>
      <c r="F269" s="137"/>
      <c r="G269" s="137"/>
      <c r="H269" s="137"/>
      <c r="I269" s="137"/>
      <c r="J269" s="138"/>
    </row>
    <row r="270" spans="3:10" ht="20.25" customHeight="1">
      <c r="C270" s="207"/>
      <c r="D270" s="60">
        <v>262</v>
      </c>
      <c r="E270" s="136"/>
      <c r="F270" s="137"/>
      <c r="G270" s="137"/>
      <c r="H270" s="137"/>
      <c r="I270" s="137"/>
      <c r="J270" s="138"/>
    </row>
    <row r="271" spans="3:10" ht="20.25" customHeight="1">
      <c r="C271" s="207"/>
      <c r="D271" s="60">
        <v>263</v>
      </c>
      <c r="E271" s="136"/>
      <c r="F271" s="137"/>
      <c r="G271" s="137"/>
      <c r="H271" s="137"/>
      <c r="I271" s="137"/>
      <c r="J271" s="138"/>
    </row>
    <row r="272" spans="3:10" ht="20.25" customHeight="1">
      <c r="C272" s="207"/>
      <c r="D272" s="60">
        <v>264</v>
      </c>
      <c r="E272" s="136"/>
      <c r="F272" s="137"/>
      <c r="G272" s="137"/>
      <c r="H272" s="137"/>
      <c r="I272" s="137"/>
      <c r="J272" s="138"/>
    </row>
    <row r="273" spans="3:10" ht="20.25" customHeight="1">
      <c r="C273" s="207"/>
      <c r="D273" s="60">
        <v>265</v>
      </c>
      <c r="E273" s="136"/>
      <c r="F273" s="137"/>
      <c r="G273" s="137"/>
      <c r="H273" s="137"/>
      <c r="I273" s="137"/>
      <c r="J273" s="138"/>
    </row>
    <row r="274" spans="3:10" ht="20.25" customHeight="1">
      <c r="C274" s="207"/>
      <c r="D274" s="60">
        <v>266</v>
      </c>
      <c r="E274" s="136"/>
      <c r="F274" s="137"/>
      <c r="G274" s="137"/>
      <c r="H274" s="137"/>
      <c r="I274" s="137"/>
      <c r="J274" s="138"/>
    </row>
    <row r="275" spans="3:10" ht="20.25" customHeight="1">
      <c r="C275" s="207"/>
      <c r="D275" s="60">
        <v>267</v>
      </c>
      <c r="E275" s="136"/>
      <c r="F275" s="137"/>
      <c r="G275" s="137"/>
      <c r="H275" s="137"/>
      <c r="I275" s="137"/>
      <c r="J275" s="138"/>
    </row>
    <row r="276" spans="3:10" ht="20.25" customHeight="1">
      <c r="C276" s="207"/>
      <c r="D276" s="60">
        <v>268</v>
      </c>
      <c r="E276" s="136"/>
      <c r="F276" s="137"/>
      <c r="G276" s="137"/>
      <c r="H276" s="137"/>
      <c r="I276" s="137"/>
      <c r="J276" s="138"/>
    </row>
    <row r="277" spans="3:10" ht="20.25" customHeight="1">
      <c r="C277" s="207"/>
      <c r="D277" s="60">
        <v>269</v>
      </c>
      <c r="E277" s="136"/>
      <c r="F277" s="137"/>
      <c r="G277" s="137"/>
      <c r="H277" s="137"/>
      <c r="I277" s="137"/>
      <c r="J277" s="138"/>
    </row>
    <row r="278" spans="3:10" ht="20.25" customHeight="1">
      <c r="C278" s="207"/>
      <c r="D278" s="60">
        <v>270</v>
      </c>
      <c r="E278" s="136"/>
      <c r="F278" s="137"/>
      <c r="G278" s="137"/>
      <c r="H278" s="137"/>
      <c r="I278" s="137"/>
      <c r="J278" s="138"/>
    </row>
    <row r="279" spans="3:10" ht="20.25" customHeight="1">
      <c r="C279" s="207"/>
      <c r="D279" s="60">
        <v>271</v>
      </c>
      <c r="E279" s="136"/>
      <c r="F279" s="137"/>
      <c r="G279" s="137"/>
      <c r="H279" s="137"/>
      <c r="I279" s="137"/>
      <c r="J279" s="138"/>
    </row>
    <row r="280" spans="3:10" ht="20.25" customHeight="1">
      <c r="C280" s="207"/>
      <c r="D280" s="60">
        <v>272</v>
      </c>
      <c r="E280" s="136"/>
      <c r="F280" s="137"/>
      <c r="G280" s="137"/>
      <c r="H280" s="137"/>
      <c r="I280" s="137"/>
      <c r="J280" s="138"/>
    </row>
    <row r="281" spans="3:10" ht="20.25" customHeight="1">
      <c r="C281" s="207"/>
      <c r="D281" s="60">
        <v>273</v>
      </c>
      <c r="E281" s="136"/>
      <c r="F281" s="137"/>
      <c r="G281" s="137"/>
      <c r="H281" s="137"/>
      <c r="I281" s="137"/>
      <c r="J281" s="138"/>
    </row>
    <row r="282" spans="3:10" ht="20.25" customHeight="1">
      <c r="C282" s="207"/>
      <c r="D282" s="60">
        <v>274</v>
      </c>
      <c r="E282" s="136"/>
      <c r="F282" s="137"/>
      <c r="G282" s="137"/>
      <c r="H282" s="137"/>
      <c r="I282" s="137"/>
      <c r="J282" s="138"/>
    </row>
    <row r="283" spans="3:10" ht="20.25" customHeight="1">
      <c r="C283" s="207"/>
      <c r="D283" s="60">
        <v>275</v>
      </c>
      <c r="E283" s="136"/>
      <c r="F283" s="137"/>
      <c r="G283" s="137"/>
      <c r="H283" s="137"/>
      <c r="I283" s="137"/>
      <c r="J283" s="138"/>
    </row>
    <row r="284" spans="3:10" ht="20.25" customHeight="1">
      <c r="C284" s="207"/>
      <c r="D284" s="60">
        <v>276</v>
      </c>
      <c r="E284" s="136"/>
      <c r="F284" s="137"/>
      <c r="G284" s="137"/>
      <c r="H284" s="137"/>
      <c r="I284" s="137"/>
      <c r="J284" s="138"/>
    </row>
    <row r="285" spans="3:10" ht="20.25" customHeight="1">
      <c r="C285" s="207"/>
      <c r="D285" s="60">
        <v>277</v>
      </c>
      <c r="E285" s="136"/>
      <c r="F285" s="137"/>
      <c r="G285" s="137"/>
      <c r="H285" s="137"/>
      <c r="I285" s="137"/>
      <c r="J285" s="138"/>
    </row>
    <row r="286" spans="3:10" ht="20.25" customHeight="1">
      <c r="C286" s="207"/>
      <c r="D286" s="60">
        <v>278</v>
      </c>
      <c r="E286" s="136"/>
      <c r="F286" s="137"/>
      <c r="G286" s="137"/>
      <c r="H286" s="137"/>
      <c r="I286" s="137"/>
      <c r="J286" s="138"/>
    </row>
    <row r="287" spans="3:10" ht="20.25" customHeight="1">
      <c r="C287" s="207"/>
      <c r="D287" s="60">
        <v>279</v>
      </c>
      <c r="E287" s="136"/>
      <c r="F287" s="137"/>
      <c r="G287" s="137"/>
      <c r="H287" s="137"/>
      <c r="I287" s="137"/>
      <c r="J287" s="138"/>
    </row>
    <row r="288" spans="3:10" ht="20.25" customHeight="1">
      <c r="C288" s="207"/>
      <c r="D288" s="60">
        <v>280</v>
      </c>
      <c r="E288" s="136"/>
      <c r="F288" s="137"/>
      <c r="G288" s="137"/>
      <c r="H288" s="137"/>
      <c r="I288" s="137"/>
      <c r="J288" s="138"/>
    </row>
    <row r="289" spans="3:10" ht="20.25" customHeight="1">
      <c r="C289" s="207"/>
      <c r="D289" s="60">
        <v>281</v>
      </c>
      <c r="E289" s="136"/>
      <c r="F289" s="137"/>
      <c r="G289" s="137"/>
      <c r="H289" s="137"/>
      <c r="I289" s="137"/>
      <c r="J289" s="138"/>
    </row>
    <row r="290" spans="3:10" ht="20.25" customHeight="1">
      <c r="C290" s="207"/>
      <c r="D290" s="60">
        <v>282</v>
      </c>
      <c r="E290" s="136"/>
      <c r="F290" s="137"/>
      <c r="G290" s="137"/>
      <c r="H290" s="137"/>
      <c r="I290" s="137"/>
      <c r="J290" s="138"/>
    </row>
    <row r="291" spans="3:10" ht="20.25" customHeight="1">
      <c r="C291" s="207"/>
      <c r="D291" s="60">
        <v>283</v>
      </c>
      <c r="E291" s="136"/>
      <c r="F291" s="137"/>
      <c r="G291" s="137"/>
      <c r="H291" s="137"/>
      <c r="I291" s="137"/>
      <c r="J291" s="138"/>
    </row>
    <row r="292" spans="3:10" ht="20.25" customHeight="1">
      <c r="C292" s="207"/>
      <c r="D292" s="60">
        <v>284</v>
      </c>
      <c r="E292" s="136"/>
      <c r="F292" s="137"/>
      <c r="G292" s="137"/>
      <c r="H292" s="137"/>
      <c r="I292" s="137"/>
      <c r="J292" s="138"/>
    </row>
    <row r="293" spans="3:10" ht="20.25" customHeight="1">
      <c r="C293" s="207"/>
      <c r="D293" s="60">
        <v>285</v>
      </c>
      <c r="E293" s="136"/>
      <c r="F293" s="137"/>
      <c r="G293" s="137"/>
      <c r="H293" s="137"/>
      <c r="I293" s="137"/>
      <c r="J293" s="138"/>
    </row>
    <row r="294" spans="3:10" ht="20.25" customHeight="1">
      <c r="C294" s="207"/>
      <c r="D294" s="60">
        <v>286</v>
      </c>
      <c r="E294" s="136"/>
      <c r="F294" s="137"/>
      <c r="G294" s="137"/>
      <c r="H294" s="137"/>
      <c r="I294" s="137"/>
      <c r="J294" s="138"/>
    </row>
    <row r="295" spans="3:10" ht="20.25" customHeight="1">
      <c r="C295" s="207"/>
      <c r="D295" s="60">
        <v>287</v>
      </c>
      <c r="E295" s="136"/>
      <c r="F295" s="137"/>
      <c r="G295" s="137"/>
      <c r="H295" s="137"/>
      <c r="I295" s="137"/>
      <c r="J295" s="138"/>
    </row>
    <row r="296" spans="3:10" ht="20.25" customHeight="1">
      <c r="C296" s="207"/>
      <c r="D296" s="60">
        <v>288</v>
      </c>
      <c r="E296" s="136"/>
      <c r="F296" s="137"/>
      <c r="G296" s="137"/>
      <c r="H296" s="137"/>
      <c r="I296" s="137"/>
      <c r="J296" s="138"/>
    </row>
    <row r="297" spans="3:10" ht="20.25" customHeight="1">
      <c r="C297" s="207"/>
      <c r="D297" s="60">
        <v>289</v>
      </c>
      <c r="E297" s="136"/>
      <c r="F297" s="137"/>
      <c r="G297" s="137"/>
      <c r="H297" s="137"/>
      <c r="I297" s="137"/>
      <c r="J297" s="138"/>
    </row>
    <row r="298" spans="3:10" ht="20.25" customHeight="1">
      <c r="C298" s="207"/>
      <c r="D298" s="60">
        <v>290</v>
      </c>
      <c r="E298" s="136"/>
      <c r="F298" s="137"/>
      <c r="G298" s="137"/>
      <c r="H298" s="137"/>
      <c r="I298" s="137"/>
      <c r="J298" s="138"/>
    </row>
    <row r="299" spans="3:10" ht="20.25" customHeight="1">
      <c r="C299" s="207"/>
      <c r="D299" s="60">
        <v>291</v>
      </c>
      <c r="E299" s="136"/>
      <c r="F299" s="137"/>
      <c r="G299" s="137"/>
      <c r="H299" s="137"/>
      <c r="I299" s="137"/>
      <c r="J299" s="138"/>
    </row>
    <row r="300" spans="3:10" ht="20.25" customHeight="1">
      <c r="C300" s="207"/>
      <c r="D300" s="60">
        <v>292</v>
      </c>
      <c r="E300" s="136"/>
      <c r="F300" s="137"/>
      <c r="G300" s="137"/>
      <c r="H300" s="137"/>
      <c r="I300" s="137"/>
      <c r="J300" s="138"/>
    </row>
    <row r="301" spans="3:10" ht="20.25" customHeight="1">
      <c r="C301" s="207"/>
      <c r="D301" s="60">
        <v>293</v>
      </c>
      <c r="E301" s="136"/>
      <c r="F301" s="137"/>
      <c r="G301" s="137"/>
      <c r="H301" s="137"/>
      <c r="I301" s="137"/>
      <c r="J301" s="138"/>
    </row>
    <row r="302" spans="3:10" ht="20.25" customHeight="1">
      <c r="C302" s="207"/>
      <c r="D302" s="60">
        <v>294</v>
      </c>
      <c r="E302" s="136"/>
      <c r="F302" s="137"/>
      <c r="G302" s="137"/>
      <c r="H302" s="137"/>
      <c r="I302" s="137"/>
      <c r="J302" s="138"/>
    </row>
    <row r="303" spans="3:10" ht="20.25" customHeight="1">
      <c r="C303" s="207"/>
      <c r="D303" s="60">
        <v>295</v>
      </c>
      <c r="E303" s="136"/>
      <c r="F303" s="137"/>
      <c r="G303" s="137"/>
      <c r="H303" s="137"/>
      <c r="I303" s="137"/>
      <c r="J303" s="138"/>
    </row>
    <row r="304" spans="3:10" ht="20.25" customHeight="1">
      <c r="C304" s="207"/>
      <c r="D304" s="60">
        <v>296</v>
      </c>
      <c r="E304" s="136"/>
      <c r="F304" s="137"/>
      <c r="G304" s="137"/>
      <c r="H304" s="137"/>
      <c r="I304" s="137"/>
      <c r="J304" s="138"/>
    </row>
    <row r="305" spans="3:10" ht="20.25" customHeight="1">
      <c r="C305" s="207"/>
      <c r="D305" s="60">
        <v>297</v>
      </c>
      <c r="E305" s="136"/>
      <c r="F305" s="137"/>
      <c r="G305" s="137"/>
      <c r="H305" s="137"/>
      <c r="I305" s="137"/>
      <c r="J305" s="138"/>
    </row>
    <row r="306" spans="3:10" ht="20.25" customHeight="1">
      <c r="C306" s="207"/>
      <c r="D306" s="60">
        <v>298</v>
      </c>
      <c r="E306" s="136"/>
      <c r="F306" s="137"/>
      <c r="G306" s="137"/>
      <c r="H306" s="137"/>
      <c r="I306" s="137"/>
      <c r="J306" s="138"/>
    </row>
    <row r="307" spans="3:10" ht="20.25" customHeight="1">
      <c r="C307" s="207"/>
      <c r="D307" s="60">
        <v>299</v>
      </c>
      <c r="E307" s="136"/>
      <c r="F307" s="137"/>
      <c r="G307" s="137"/>
      <c r="H307" s="137"/>
      <c r="I307" s="137"/>
      <c r="J307" s="138"/>
    </row>
    <row r="308" spans="3:10" ht="20.25" customHeight="1">
      <c r="C308" s="207"/>
      <c r="D308" s="60">
        <v>300</v>
      </c>
      <c r="E308" s="136"/>
      <c r="F308" s="137"/>
      <c r="G308" s="137"/>
      <c r="H308" s="137"/>
      <c r="I308" s="137"/>
      <c r="J308" s="138"/>
    </row>
    <row r="309" spans="3:10" ht="20.25" customHeight="1">
      <c r="C309" s="207"/>
      <c r="D309" s="60">
        <v>301</v>
      </c>
      <c r="E309" s="136"/>
      <c r="F309" s="137"/>
      <c r="G309" s="137"/>
      <c r="H309" s="137"/>
      <c r="I309" s="137"/>
      <c r="J309" s="138"/>
    </row>
    <row r="310" spans="3:10" ht="20.25" customHeight="1">
      <c r="C310" s="207"/>
      <c r="D310" s="60">
        <v>302</v>
      </c>
      <c r="E310" s="136"/>
      <c r="F310" s="137"/>
      <c r="G310" s="137"/>
      <c r="H310" s="137"/>
      <c r="I310" s="137"/>
      <c r="J310" s="138"/>
    </row>
    <row r="311" spans="3:10" ht="20.25" customHeight="1">
      <c r="C311" s="207"/>
      <c r="D311" s="60">
        <v>303</v>
      </c>
      <c r="E311" s="136"/>
      <c r="F311" s="137"/>
      <c r="G311" s="137"/>
      <c r="H311" s="137"/>
      <c r="I311" s="137"/>
      <c r="J311" s="138"/>
    </row>
    <row r="312" spans="3:10" ht="20.25" customHeight="1">
      <c r="C312" s="207"/>
      <c r="D312" s="60">
        <v>304</v>
      </c>
      <c r="E312" s="136"/>
      <c r="F312" s="137"/>
      <c r="G312" s="137"/>
      <c r="H312" s="137"/>
      <c r="I312" s="137"/>
      <c r="J312" s="138"/>
    </row>
    <row r="313" spans="3:10" ht="20.25" customHeight="1">
      <c r="C313" s="207"/>
      <c r="D313" s="60">
        <v>305</v>
      </c>
      <c r="E313" s="136"/>
      <c r="F313" s="137"/>
      <c r="G313" s="137"/>
      <c r="H313" s="137"/>
      <c r="I313" s="137"/>
      <c r="J313" s="138"/>
    </row>
    <row r="314" spans="3:10" ht="20.25" customHeight="1">
      <c r="C314" s="207"/>
      <c r="D314" s="60">
        <v>306</v>
      </c>
      <c r="E314" s="136"/>
      <c r="F314" s="137"/>
      <c r="G314" s="137"/>
      <c r="H314" s="137"/>
      <c r="I314" s="137"/>
      <c r="J314" s="138"/>
    </row>
    <row r="315" spans="3:10" ht="20.25" customHeight="1">
      <c r="C315" s="207"/>
      <c r="D315" s="60">
        <v>307</v>
      </c>
      <c r="E315" s="136"/>
      <c r="F315" s="137"/>
      <c r="G315" s="137"/>
      <c r="H315" s="137"/>
      <c r="I315" s="137"/>
      <c r="J315" s="138"/>
    </row>
    <row r="316" spans="3:10" ht="20.25" customHeight="1">
      <c r="C316" s="207"/>
      <c r="D316" s="60">
        <v>308</v>
      </c>
      <c r="E316" s="136"/>
      <c r="F316" s="137"/>
      <c r="G316" s="137"/>
      <c r="H316" s="137"/>
      <c r="I316" s="137"/>
      <c r="J316" s="138"/>
    </row>
    <row r="317" spans="3:10" ht="20.25" customHeight="1">
      <c r="C317" s="207"/>
      <c r="D317" s="60">
        <v>309</v>
      </c>
      <c r="E317" s="136"/>
      <c r="F317" s="137"/>
      <c r="G317" s="137"/>
      <c r="H317" s="137"/>
      <c r="I317" s="137"/>
      <c r="J317" s="138"/>
    </row>
    <row r="318" spans="3:10" ht="20.25" customHeight="1">
      <c r="C318" s="207"/>
      <c r="D318" s="60">
        <v>310</v>
      </c>
      <c r="E318" s="136"/>
      <c r="F318" s="137"/>
      <c r="G318" s="137"/>
      <c r="H318" s="137"/>
      <c r="I318" s="137"/>
      <c r="J318" s="138"/>
    </row>
    <row r="319" spans="3:10" ht="20.25" customHeight="1">
      <c r="C319" s="207"/>
      <c r="D319" s="60">
        <v>311</v>
      </c>
      <c r="E319" s="136"/>
      <c r="F319" s="137"/>
      <c r="G319" s="137"/>
      <c r="H319" s="137"/>
      <c r="I319" s="137"/>
      <c r="J319" s="138"/>
    </row>
    <row r="320" spans="3:10" ht="20.25" customHeight="1">
      <c r="C320" s="207"/>
      <c r="D320" s="60">
        <v>312</v>
      </c>
      <c r="E320" s="136"/>
      <c r="F320" s="137"/>
      <c r="G320" s="137"/>
      <c r="H320" s="137"/>
      <c r="I320" s="137"/>
      <c r="J320" s="138"/>
    </row>
    <row r="321" spans="3:10" ht="20.25" customHeight="1">
      <c r="C321" s="207"/>
      <c r="D321" s="60">
        <v>313</v>
      </c>
      <c r="E321" s="136"/>
      <c r="F321" s="137"/>
      <c r="G321" s="137"/>
      <c r="H321" s="137"/>
      <c r="I321" s="137"/>
      <c r="J321" s="138"/>
    </row>
    <row r="322" spans="3:10" ht="20.25" customHeight="1">
      <c r="C322" s="207"/>
      <c r="D322" s="60">
        <v>314</v>
      </c>
      <c r="E322" s="136"/>
      <c r="F322" s="137"/>
      <c r="G322" s="137"/>
      <c r="H322" s="137"/>
      <c r="I322" s="137"/>
      <c r="J322" s="138"/>
    </row>
    <row r="323" spans="3:10" ht="20.25" customHeight="1">
      <c r="C323" s="207"/>
      <c r="D323" s="60">
        <v>315</v>
      </c>
      <c r="E323" s="136"/>
      <c r="F323" s="137"/>
      <c r="G323" s="137"/>
      <c r="H323" s="137"/>
      <c r="I323" s="137"/>
      <c r="J323" s="138"/>
    </row>
    <row r="324" spans="3:10" ht="20.25" customHeight="1">
      <c r="C324" s="207"/>
      <c r="D324" s="60">
        <v>316</v>
      </c>
      <c r="E324" s="136"/>
      <c r="F324" s="137"/>
      <c r="G324" s="137"/>
      <c r="H324" s="137"/>
      <c r="I324" s="137"/>
      <c r="J324" s="138"/>
    </row>
    <row r="325" spans="3:10" ht="20.25" customHeight="1">
      <c r="C325" s="207"/>
      <c r="D325" s="60">
        <v>317</v>
      </c>
      <c r="E325" s="136"/>
      <c r="F325" s="137"/>
      <c r="G325" s="137"/>
      <c r="H325" s="137"/>
      <c r="I325" s="137"/>
      <c r="J325" s="138"/>
    </row>
    <row r="326" spans="3:10" ht="20.25" customHeight="1">
      <c r="C326" s="207"/>
      <c r="D326" s="60">
        <v>318</v>
      </c>
      <c r="E326" s="136"/>
      <c r="F326" s="137"/>
      <c r="G326" s="137"/>
      <c r="H326" s="137"/>
      <c r="I326" s="137"/>
      <c r="J326" s="138"/>
    </row>
    <row r="327" spans="3:10" ht="20.25" customHeight="1">
      <c r="C327" s="207"/>
      <c r="D327" s="60">
        <v>319</v>
      </c>
      <c r="E327" s="136"/>
      <c r="F327" s="137"/>
      <c r="G327" s="137"/>
      <c r="H327" s="137"/>
      <c r="I327" s="137"/>
      <c r="J327" s="138"/>
    </row>
    <row r="328" spans="3:10" ht="20.25" customHeight="1">
      <c r="C328" s="207"/>
      <c r="D328" s="60">
        <v>320</v>
      </c>
      <c r="E328" s="136"/>
      <c r="F328" s="137"/>
      <c r="G328" s="137"/>
      <c r="H328" s="137"/>
      <c r="I328" s="137"/>
      <c r="J328" s="138"/>
    </row>
    <row r="329" spans="3:10" ht="20.25" customHeight="1">
      <c r="C329" s="207"/>
      <c r="D329" s="60">
        <v>321</v>
      </c>
      <c r="E329" s="136"/>
      <c r="F329" s="137"/>
      <c r="G329" s="137"/>
      <c r="H329" s="137"/>
      <c r="I329" s="137"/>
      <c r="J329" s="138"/>
    </row>
    <row r="330" spans="3:10" ht="20.25" customHeight="1">
      <c r="C330" s="207"/>
      <c r="D330" s="60">
        <v>322</v>
      </c>
      <c r="E330" s="136"/>
      <c r="F330" s="137"/>
      <c r="G330" s="137"/>
      <c r="H330" s="137"/>
      <c r="I330" s="137"/>
      <c r="J330" s="138"/>
    </row>
    <row r="331" spans="3:10" ht="20.25" customHeight="1">
      <c r="C331" s="207"/>
      <c r="D331" s="60">
        <v>323</v>
      </c>
      <c r="E331" s="136"/>
      <c r="F331" s="137"/>
      <c r="G331" s="137"/>
      <c r="H331" s="137"/>
      <c r="I331" s="137"/>
      <c r="J331" s="138"/>
    </row>
    <row r="332" spans="3:10" ht="20.25" customHeight="1">
      <c r="C332" s="207"/>
      <c r="D332" s="60">
        <v>324</v>
      </c>
      <c r="E332" s="136"/>
      <c r="F332" s="137"/>
      <c r="G332" s="137"/>
      <c r="H332" s="137"/>
      <c r="I332" s="137"/>
      <c r="J332" s="138"/>
    </row>
    <row r="333" spans="3:10" ht="20.25" customHeight="1">
      <c r="C333" s="207"/>
      <c r="D333" s="60">
        <v>325</v>
      </c>
      <c r="E333" s="136"/>
      <c r="F333" s="137"/>
      <c r="G333" s="137"/>
      <c r="H333" s="137"/>
      <c r="I333" s="137"/>
      <c r="J333" s="138"/>
    </row>
    <row r="334" spans="3:10" ht="20.25" customHeight="1">
      <c r="C334" s="207"/>
      <c r="D334" s="60">
        <v>326</v>
      </c>
      <c r="E334" s="136"/>
      <c r="F334" s="137"/>
      <c r="G334" s="137"/>
      <c r="H334" s="137"/>
      <c r="I334" s="137"/>
      <c r="J334" s="138"/>
    </row>
    <row r="335" spans="3:10" ht="20.25" customHeight="1">
      <c r="C335" s="207"/>
      <c r="D335" s="60">
        <v>327</v>
      </c>
      <c r="E335" s="136"/>
      <c r="F335" s="137"/>
      <c r="G335" s="137"/>
      <c r="H335" s="137"/>
      <c r="I335" s="137"/>
      <c r="J335" s="138"/>
    </row>
    <row r="336" spans="3:10" ht="20.25" customHeight="1">
      <c r="C336" s="207"/>
      <c r="D336" s="60">
        <v>328</v>
      </c>
      <c r="E336" s="136"/>
      <c r="F336" s="137"/>
      <c r="G336" s="137"/>
      <c r="H336" s="137"/>
      <c r="I336" s="137"/>
      <c r="J336" s="138"/>
    </row>
    <row r="337" spans="3:10" ht="20.25" customHeight="1">
      <c r="C337" s="207"/>
      <c r="D337" s="60">
        <v>329</v>
      </c>
      <c r="E337" s="136"/>
      <c r="F337" s="137"/>
      <c r="G337" s="137"/>
      <c r="H337" s="137"/>
      <c r="I337" s="137"/>
      <c r="J337" s="138"/>
    </row>
    <row r="338" spans="3:10" ht="20.25" customHeight="1">
      <c r="C338" s="207"/>
      <c r="D338" s="60">
        <v>330</v>
      </c>
      <c r="E338" s="136"/>
      <c r="F338" s="137"/>
      <c r="G338" s="137"/>
      <c r="H338" s="137"/>
      <c r="I338" s="137"/>
      <c r="J338" s="138"/>
    </row>
    <row r="339" spans="3:10" ht="20.25" customHeight="1">
      <c r="C339" s="207"/>
      <c r="D339" s="60">
        <v>331</v>
      </c>
      <c r="E339" s="136"/>
      <c r="F339" s="137"/>
      <c r="G339" s="137"/>
      <c r="H339" s="137"/>
      <c r="I339" s="137"/>
      <c r="J339" s="138"/>
    </row>
    <row r="340" spans="3:10" ht="20.25" customHeight="1">
      <c r="C340" s="207"/>
      <c r="D340" s="60">
        <v>332</v>
      </c>
      <c r="E340" s="136"/>
      <c r="F340" s="137"/>
      <c r="G340" s="137"/>
      <c r="H340" s="137"/>
      <c r="I340" s="137"/>
      <c r="J340" s="138"/>
    </row>
    <row r="341" spans="3:10" ht="20.25" customHeight="1">
      <c r="C341" s="207"/>
      <c r="D341" s="60">
        <v>333</v>
      </c>
      <c r="E341" s="136"/>
      <c r="F341" s="137"/>
      <c r="G341" s="137"/>
      <c r="H341" s="137"/>
      <c r="I341" s="137"/>
      <c r="J341" s="138"/>
    </row>
    <row r="342" spans="3:10" ht="20.25" customHeight="1">
      <c r="C342" s="207"/>
      <c r="D342" s="60">
        <v>334</v>
      </c>
      <c r="E342" s="136"/>
      <c r="F342" s="137"/>
      <c r="G342" s="137"/>
      <c r="H342" s="137"/>
      <c r="I342" s="137"/>
      <c r="J342" s="138"/>
    </row>
    <row r="343" spans="3:10" ht="20.25" customHeight="1">
      <c r="C343" s="207"/>
      <c r="D343" s="60">
        <v>335</v>
      </c>
      <c r="E343" s="136"/>
      <c r="F343" s="137"/>
      <c r="G343" s="137"/>
      <c r="H343" s="137"/>
      <c r="I343" s="137"/>
      <c r="J343" s="138"/>
    </row>
    <row r="344" spans="3:10" ht="20.25" customHeight="1">
      <c r="C344" s="207"/>
      <c r="D344" s="60">
        <v>336</v>
      </c>
      <c r="E344" s="136"/>
      <c r="F344" s="137"/>
      <c r="G344" s="137"/>
      <c r="H344" s="137"/>
      <c r="I344" s="137"/>
      <c r="J344" s="138"/>
    </row>
    <row r="345" spans="3:10" ht="20.25" customHeight="1">
      <c r="C345" s="207"/>
      <c r="D345" s="60">
        <v>337</v>
      </c>
      <c r="E345" s="136"/>
      <c r="F345" s="137"/>
      <c r="G345" s="137"/>
      <c r="H345" s="137"/>
      <c r="I345" s="137"/>
      <c r="J345" s="138"/>
    </row>
    <row r="346" spans="3:10" ht="20.25" customHeight="1">
      <c r="C346" s="207"/>
      <c r="D346" s="60">
        <v>338</v>
      </c>
      <c r="E346" s="136"/>
      <c r="F346" s="137"/>
      <c r="G346" s="137"/>
      <c r="H346" s="137"/>
      <c r="I346" s="137"/>
      <c r="J346" s="138"/>
    </row>
    <row r="347" spans="3:10" ht="20.25" customHeight="1">
      <c r="C347" s="207"/>
      <c r="D347" s="60">
        <v>339</v>
      </c>
      <c r="E347" s="136"/>
      <c r="F347" s="137"/>
      <c r="G347" s="137"/>
      <c r="H347" s="137"/>
      <c r="I347" s="137"/>
      <c r="J347" s="138"/>
    </row>
    <row r="348" spans="3:10" ht="20.25" customHeight="1">
      <c r="C348" s="207"/>
      <c r="D348" s="60">
        <v>340</v>
      </c>
      <c r="E348" s="136"/>
      <c r="F348" s="137"/>
      <c r="G348" s="137"/>
      <c r="H348" s="137"/>
      <c r="I348" s="137"/>
      <c r="J348" s="138"/>
    </row>
    <row r="349" spans="3:10" ht="20.25" customHeight="1">
      <c r="C349" s="207"/>
      <c r="D349" s="60">
        <v>341</v>
      </c>
      <c r="E349" s="136"/>
      <c r="F349" s="137"/>
      <c r="G349" s="137"/>
      <c r="H349" s="137"/>
      <c r="I349" s="137"/>
      <c r="J349" s="138"/>
    </row>
    <row r="350" spans="3:10" ht="20.25" customHeight="1">
      <c r="C350" s="207"/>
      <c r="D350" s="60">
        <v>342</v>
      </c>
      <c r="E350" s="136"/>
      <c r="F350" s="137"/>
      <c r="G350" s="137"/>
      <c r="H350" s="137"/>
      <c r="I350" s="137"/>
      <c r="J350" s="138"/>
    </row>
    <row r="351" spans="3:10" ht="20.25" customHeight="1">
      <c r="C351" s="207"/>
      <c r="D351" s="60">
        <v>343</v>
      </c>
      <c r="E351" s="136"/>
      <c r="F351" s="137"/>
      <c r="G351" s="137"/>
      <c r="H351" s="137"/>
      <c r="I351" s="137"/>
      <c r="J351" s="138"/>
    </row>
    <row r="352" spans="3:10" ht="20.25" customHeight="1">
      <c r="C352" s="207"/>
      <c r="D352" s="60">
        <v>344</v>
      </c>
      <c r="E352" s="136"/>
      <c r="F352" s="137"/>
      <c r="G352" s="137"/>
      <c r="H352" s="137"/>
      <c r="I352" s="137"/>
      <c r="J352" s="138"/>
    </row>
    <row r="353" spans="3:10" ht="20.25" customHeight="1">
      <c r="C353" s="207"/>
      <c r="D353" s="60">
        <v>345</v>
      </c>
      <c r="E353" s="136"/>
      <c r="F353" s="137"/>
      <c r="G353" s="137"/>
      <c r="H353" s="137"/>
      <c r="I353" s="137"/>
      <c r="J353" s="138"/>
    </row>
    <row r="354" spans="3:10" ht="20.25" customHeight="1">
      <c r="C354" s="207"/>
      <c r="D354" s="60">
        <v>346</v>
      </c>
      <c r="E354" s="136"/>
      <c r="F354" s="137"/>
      <c r="G354" s="137"/>
      <c r="H354" s="137"/>
      <c r="I354" s="137"/>
      <c r="J354" s="138"/>
    </row>
    <row r="355" spans="3:10" ht="20.25" customHeight="1">
      <c r="C355" s="207"/>
      <c r="D355" s="60">
        <v>347</v>
      </c>
      <c r="E355" s="136"/>
      <c r="F355" s="137"/>
      <c r="G355" s="137"/>
      <c r="H355" s="137"/>
      <c r="I355" s="137"/>
      <c r="J355" s="138"/>
    </row>
    <row r="356" spans="3:10" ht="20.25" customHeight="1">
      <c r="C356" s="207"/>
      <c r="D356" s="60">
        <v>348</v>
      </c>
      <c r="E356" s="136"/>
      <c r="F356" s="137"/>
      <c r="G356" s="137"/>
      <c r="H356" s="137"/>
      <c r="I356" s="137"/>
      <c r="J356" s="138"/>
    </row>
    <row r="357" spans="3:10" ht="20.25" customHeight="1">
      <c r="C357" s="207"/>
      <c r="D357" s="60">
        <v>349</v>
      </c>
      <c r="E357" s="136"/>
      <c r="F357" s="137"/>
      <c r="G357" s="137"/>
      <c r="H357" s="137"/>
      <c r="I357" s="137"/>
      <c r="J357" s="138"/>
    </row>
    <row r="358" spans="3:10" ht="20.25" customHeight="1">
      <c r="C358" s="207"/>
      <c r="D358" s="60">
        <v>350</v>
      </c>
      <c r="E358" s="136"/>
      <c r="F358" s="137"/>
      <c r="G358" s="137"/>
      <c r="H358" s="137"/>
      <c r="I358" s="137"/>
      <c r="J358" s="138"/>
    </row>
    <row r="359" spans="3:10" ht="20.25" customHeight="1">
      <c r="C359" s="207"/>
      <c r="D359" s="60">
        <v>351</v>
      </c>
      <c r="E359" s="136"/>
      <c r="F359" s="137"/>
      <c r="G359" s="137"/>
      <c r="H359" s="137"/>
      <c r="I359" s="137"/>
      <c r="J359" s="138"/>
    </row>
    <row r="360" spans="3:10" ht="20.25" customHeight="1">
      <c r="C360" s="207"/>
      <c r="D360" s="60">
        <v>352</v>
      </c>
      <c r="E360" s="136"/>
      <c r="F360" s="137"/>
      <c r="G360" s="137"/>
      <c r="H360" s="137"/>
      <c r="I360" s="137"/>
      <c r="J360" s="138"/>
    </row>
    <row r="361" spans="3:10" ht="20.25" customHeight="1">
      <c r="C361" s="207"/>
      <c r="D361" s="60">
        <v>353</v>
      </c>
      <c r="E361" s="136"/>
      <c r="F361" s="137"/>
      <c r="G361" s="137"/>
      <c r="H361" s="137"/>
      <c r="I361" s="137"/>
      <c r="J361" s="138"/>
    </row>
    <row r="362" spans="3:10" ht="20.25" customHeight="1">
      <c r="C362" s="207"/>
      <c r="D362" s="60">
        <v>354</v>
      </c>
      <c r="E362" s="136"/>
      <c r="F362" s="137"/>
      <c r="G362" s="137"/>
      <c r="H362" s="137"/>
      <c r="I362" s="137"/>
      <c r="J362" s="138"/>
    </row>
    <row r="363" spans="3:10" ht="20.25" customHeight="1">
      <c r="C363" s="207"/>
      <c r="D363" s="60">
        <v>355</v>
      </c>
      <c r="E363" s="136"/>
      <c r="F363" s="137"/>
      <c r="G363" s="137"/>
      <c r="H363" s="137"/>
      <c r="I363" s="137"/>
      <c r="J363" s="138"/>
    </row>
    <row r="364" spans="3:10" ht="20.25" customHeight="1">
      <c r="C364" s="207"/>
      <c r="D364" s="60">
        <v>356</v>
      </c>
      <c r="E364" s="136"/>
      <c r="F364" s="137"/>
      <c r="G364" s="137"/>
      <c r="H364" s="137"/>
      <c r="I364" s="137"/>
      <c r="J364" s="138"/>
    </row>
    <row r="365" spans="3:10" ht="20.25" customHeight="1">
      <c r="C365" s="207"/>
      <c r="D365" s="60">
        <v>357</v>
      </c>
      <c r="E365" s="136"/>
      <c r="F365" s="137"/>
      <c r="G365" s="137"/>
      <c r="H365" s="137"/>
      <c r="I365" s="137"/>
      <c r="J365" s="138"/>
    </row>
    <row r="366" spans="3:10" ht="20.25" customHeight="1">
      <c r="C366" s="207"/>
      <c r="D366" s="60">
        <v>358</v>
      </c>
      <c r="E366" s="136"/>
      <c r="F366" s="137"/>
      <c r="G366" s="137"/>
      <c r="H366" s="137"/>
      <c r="I366" s="137"/>
      <c r="J366" s="138"/>
    </row>
    <row r="367" spans="3:10" ht="20.25" customHeight="1">
      <c r="C367" s="207"/>
      <c r="D367" s="60">
        <v>359</v>
      </c>
      <c r="E367" s="136"/>
      <c r="F367" s="137"/>
      <c r="G367" s="137"/>
      <c r="H367" s="137"/>
      <c r="I367" s="137"/>
      <c r="J367" s="138"/>
    </row>
    <row r="368" spans="3:10" ht="20.25" customHeight="1">
      <c r="C368" s="207"/>
      <c r="D368" s="60">
        <v>360</v>
      </c>
      <c r="E368" s="136"/>
      <c r="F368" s="137"/>
      <c r="G368" s="137"/>
      <c r="H368" s="137"/>
      <c r="I368" s="137"/>
      <c r="J368" s="138"/>
    </row>
    <row r="369" spans="3:10" ht="20.25" customHeight="1">
      <c r="C369" s="207"/>
      <c r="D369" s="60">
        <v>361</v>
      </c>
      <c r="E369" s="136"/>
      <c r="F369" s="137"/>
      <c r="G369" s="137"/>
      <c r="H369" s="137"/>
      <c r="I369" s="137"/>
      <c r="J369" s="138"/>
    </row>
    <row r="370" spans="3:10" ht="20.25" customHeight="1">
      <c r="C370" s="207"/>
      <c r="D370" s="60">
        <v>362</v>
      </c>
      <c r="E370" s="136"/>
      <c r="F370" s="137"/>
      <c r="G370" s="137"/>
      <c r="H370" s="137"/>
      <c r="I370" s="137"/>
      <c r="J370" s="138"/>
    </row>
    <row r="371" spans="3:10" ht="20.25" customHeight="1">
      <c r="C371" s="207"/>
      <c r="D371" s="60">
        <v>363</v>
      </c>
      <c r="E371" s="136"/>
      <c r="F371" s="137"/>
      <c r="G371" s="137"/>
      <c r="H371" s="137"/>
      <c r="I371" s="137"/>
      <c r="J371" s="138"/>
    </row>
    <row r="372" spans="3:10" ht="20.25" customHeight="1">
      <c r="C372" s="207"/>
      <c r="D372" s="60">
        <v>364</v>
      </c>
      <c r="E372" s="136"/>
      <c r="F372" s="137"/>
      <c r="G372" s="137"/>
      <c r="H372" s="137"/>
      <c r="I372" s="137"/>
      <c r="J372" s="138"/>
    </row>
    <row r="373" spans="3:10" ht="20.25" customHeight="1">
      <c r="C373" s="207"/>
      <c r="D373" s="60">
        <v>365</v>
      </c>
      <c r="E373" s="136"/>
      <c r="F373" s="137"/>
      <c r="G373" s="137"/>
      <c r="H373" s="137"/>
      <c r="I373" s="137"/>
      <c r="J373" s="138"/>
    </row>
    <row r="374" spans="3:10" ht="20.25" customHeight="1">
      <c r="C374" s="207"/>
      <c r="D374" s="60">
        <v>366</v>
      </c>
      <c r="E374" s="136"/>
      <c r="F374" s="137"/>
      <c r="G374" s="137"/>
      <c r="H374" s="137"/>
      <c r="I374" s="137"/>
      <c r="J374" s="138"/>
    </row>
    <row r="375" spans="3:10" ht="20.25" customHeight="1">
      <c r="C375" s="207"/>
      <c r="D375" s="60">
        <v>367</v>
      </c>
      <c r="E375" s="136"/>
      <c r="F375" s="137"/>
      <c r="G375" s="137"/>
      <c r="H375" s="137"/>
      <c r="I375" s="137"/>
      <c r="J375" s="138"/>
    </row>
    <row r="376" spans="3:10" ht="20.25" customHeight="1">
      <c r="C376" s="207"/>
      <c r="D376" s="60">
        <v>368</v>
      </c>
      <c r="E376" s="136"/>
      <c r="F376" s="137"/>
      <c r="G376" s="137"/>
      <c r="H376" s="137"/>
      <c r="I376" s="137"/>
      <c r="J376" s="138"/>
    </row>
    <row r="377" spans="3:10" ht="20.25" customHeight="1">
      <c r="C377" s="207"/>
      <c r="D377" s="60">
        <v>369</v>
      </c>
      <c r="E377" s="136"/>
      <c r="F377" s="137"/>
      <c r="G377" s="137"/>
      <c r="H377" s="137"/>
      <c r="I377" s="137"/>
      <c r="J377" s="138"/>
    </row>
    <row r="378" spans="3:10" ht="20.25" customHeight="1">
      <c r="C378" s="207"/>
      <c r="D378" s="60">
        <v>370</v>
      </c>
      <c r="E378" s="136"/>
      <c r="F378" s="137"/>
      <c r="G378" s="137"/>
      <c r="H378" s="137"/>
      <c r="I378" s="137"/>
      <c r="J378" s="138"/>
    </row>
    <row r="379" spans="3:10" ht="20.25" customHeight="1">
      <c r="C379" s="207"/>
      <c r="D379" s="60">
        <v>371</v>
      </c>
      <c r="E379" s="136"/>
      <c r="F379" s="137"/>
      <c r="G379" s="137"/>
      <c r="H379" s="137"/>
      <c r="I379" s="137"/>
      <c r="J379" s="138"/>
    </row>
    <row r="380" spans="3:10" ht="20.25" customHeight="1">
      <c r="C380" s="207"/>
      <c r="D380" s="60">
        <v>372</v>
      </c>
      <c r="E380" s="136"/>
      <c r="F380" s="137"/>
      <c r="G380" s="137"/>
      <c r="H380" s="137"/>
      <c r="I380" s="137"/>
      <c r="J380" s="138"/>
    </row>
    <row r="381" spans="3:10" ht="20.25" customHeight="1">
      <c r="C381" s="207"/>
      <c r="D381" s="60">
        <v>373</v>
      </c>
      <c r="E381" s="136"/>
      <c r="F381" s="137"/>
      <c r="G381" s="137"/>
      <c r="H381" s="137"/>
      <c r="I381" s="137"/>
      <c r="J381" s="138"/>
    </row>
    <row r="382" spans="3:10" ht="20.25" customHeight="1">
      <c r="C382" s="207"/>
      <c r="D382" s="60">
        <v>374</v>
      </c>
      <c r="E382" s="136"/>
      <c r="F382" s="137"/>
      <c r="G382" s="137"/>
      <c r="H382" s="137"/>
      <c r="I382" s="137"/>
      <c r="J382" s="138"/>
    </row>
    <row r="383" spans="3:10" ht="20.25" customHeight="1">
      <c r="C383" s="207"/>
      <c r="D383" s="60">
        <v>375</v>
      </c>
      <c r="E383" s="136"/>
      <c r="F383" s="137"/>
      <c r="G383" s="137"/>
      <c r="H383" s="137"/>
      <c r="I383" s="137"/>
      <c r="J383" s="138"/>
    </row>
    <row r="384" spans="3:10" ht="20.25" customHeight="1">
      <c r="C384" s="207"/>
      <c r="D384" s="60">
        <v>376</v>
      </c>
      <c r="E384" s="136"/>
      <c r="F384" s="137"/>
      <c r="G384" s="137"/>
      <c r="H384" s="137"/>
      <c r="I384" s="137"/>
      <c r="J384" s="138"/>
    </row>
    <row r="385" spans="3:10" ht="20.25" customHeight="1">
      <c r="C385" s="207"/>
      <c r="D385" s="60">
        <v>377</v>
      </c>
      <c r="E385" s="136"/>
      <c r="F385" s="137"/>
      <c r="G385" s="137"/>
      <c r="H385" s="137"/>
      <c r="I385" s="137"/>
      <c r="J385" s="138"/>
    </row>
    <row r="386" spans="3:10" ht="20.25" customHeight="1">
      <c r="C386" s="207"/>
      <c r="D386" s="60">
        <v>378</v>
      </c>
      <c r="E386" s="136"/>
      <c r="F386" s="137"/>
      <c r="G386" s="137"/>
      <c r="H386" s="137"/>
      <c r="I386" s="137"/>
      <c r="J386" s="138"/>
    </row>
    <row r="387" spans="3:10" ht="20.25" customHeight="1">
      <c r="C387" s="207"/>
      <c r="D387" s="60">
        <v>379</v>
      </c>
      <c r="E387" s="136"/>
      <c r="F387" s="137"/>
      <c r="G387" s="137"/>
      <c r="H387" s="137"/>
      <c r="I387" s="137"/>
      <c r="J387" s="138"/>
    </row>
    <row r="388" spans="3:10" ht="20.25" customHeight="1">
      <c r="C388" s="207"/>
      <c r="D388" s="60">
        <v>380</v>
      </c>
      <c r="E388" s="136"/>
      <c r="F388" s="137"/>
      <c r="G388" s="137"/>
      <c r="H388" s="137"/>
      <c r="I388" s="137"/>
      <c r="J388" s="138"/>
    </row>
    <row r="389" spans="3:10" ht="20.25" customHeight="1">
      <c r="C389" s="207"/>
      <c r="D389" s="60">
        <v>381</v>
      </c>
      <c r="E389" s="136"/>
      <c r="F389" s="137"/>
      <c r="G389" s="137"/>
      <c r="H389" s="137"/>
      <c r="I389" s="137"/>
      <c r="J389" s="138"/>
    </row>
    <row r="390" spans="3:10" ht="20.25" customHeight="1">
      <c r="C390" s="207"/>
      <c r="D390" s="60">
        <v>382</v>
      </c>
      <c r="E390" s="136"/>
      <c r="F390" s="137"/>
      <c r="G390" s="137"/>
      <c r="H390" s="137"/>
      <c r="I390" s="137"/>
      <c r="J390" s="138"/>
    </row>
    <row r="391" spans="3:10" ht="20.25" customHeight="1">
      <c r="C391" s="207"/>
      <c r="D391" s="60">
        <v>383</v>
      </c>
      <c r="E391" s="136"/>
      <c r="F391" s="137"/>
      <c r="G391" s="137"/>
      <c r="H391" s="137"/>
      <c r="I391" s="137"/>
      <c r="J391" s="138"/>
    </row>
    <row r="392" spans="3:10" ht="20.25" customHeight="1">
      <c r="C392" s="207"/>
      <c r="D392" s="60">
        <v>384</v>
      </c>
      <c r="E392" s="136"/>
      <c r="F392" s="137"/>
      <c r="G392" s="137"/>
      <c r="H392" s="137"/>
      <c r="I392" s="137"/>
      <c r="J392" s="138"/>
    </row>
    <row r="393" spans="3:10" ht="20.25" customHeight="1">
      <c r="C393" s="207"/>
      <c r="D393" s="60">
        <v>385</v>
      </c>
      <c r="E393" s="136"/>
      <c r="F393" s="137"/>
      <c r="G393" s="137"/>
      <c r="H393" s="137"/>
      <c r="I393" s="137"/>
      <c r="J393" s="138"/>
    </row>
    <row r="394" spans="3:10" ht="20.25" customHeight="1">
      <c r="C394" s="207"/>
      <c r="D394" s="60">
        <v>386</v>
      </c>
      <c r="E394" s="136"/>
      <c r="F394" s="137"/>
      <c r="G394" s="137"/>
      <c r="H394" s="137"/>
      <c r="I394" s="137"/>
      <c r="J394" s="138"/>
    </row>
    <row r="395" spans="3:10" ht="20.25" customHeight="1">
      <c r="C395" s="207"/>
      <c r="D395" s="60">
        <v>387</v>
      </c>
      <c r="E395" s="136"/>
      <c r="F395" s="137"/>
      <c r="G395" s="137"/>
      <c r="H395" s="137"/>
      <c r="I395" s="137"/>
      <c r="J395" s="138"/>
    </row>
    <row r="396" spans="3:10" ht="20.25" customHeight="1">
      <c r="C396" s="207"/>
      <c r="D396" s="60">
        <v>388</v>
      </c>
      <c r="E396" s="136"/>
      <c r="F396" s="137"/>
      <c r="G396" s="137"/>
      <c r="H396" s="137"/>
      <c r="I396" s="137"/>
      <c r="J396" s="138"/>
    </row>
    <row r="397" spans="3:10" ht="20.25" customHeight="1">
      <c r="C397" s="207"/>
      <c r="D397" s="60">
        <v>389</v>
      </c>
      <c r="E397" s="136"/>
      <c r="F397" s="137"/>
      <c r="G397" s="137"/>
      <c r="H397" s="137"/>
      <c r="I397" s="137"/>
      <c r="J397" s="138"/>
    </row>
    <row r="398" spans="3:10" ht="20.25" customHeight="1">
      <c r="C398" s="207"/>
      <c r="D398" s="60">
        <v>390</v>
      </c>
      <c r="E398" s="136"/>
      <c r="F398" s="137"/>
      <c r="G398" s="137"/>
      <c r="H398" s="137"/>
      <c r="I398" s="137"/>
      <c r="J398" s="138"/>
    </row>
    <row r="399" spans="3:10" ht="20.25" customHeight="1">
      <c r="C399" s="207"/>
      <c r="D399" s="60">
        <v>391</v>
      </c>
      <c r="E399" s="136"/>
      <c r="F399" s="137"/>
      <c r="G399" s="137"/>
      <c r="H399" s="137"/>
      <c r="I399" s="137"/>
      <c r="J399" s="138"/>
    </row>
    <row r="400" spans="3:10" ht="20.25" customHeight="1">
      <c r="C400" s="207"/>
      <c r="D400" s="60">
        <v>392</v>
      </c>
      <c r="E400" s="136"/>
      <c r="F400" s="137"/>
      <c r="G400" s="137"/>
      <c r="H400" s="137"/>
      <c r="I400" s="137"/>
      <c r="J400" s="138"/>
    </row>
    <row r="401" spans="3:10" ht="20.25" customHeight="1">
      <c r="C401" s="207"/>
      <c r="D401" s="60">
        <v>393</v>
      </c>
      <c r="E401" s="136"/>
      <c r="F401" s="137"/>
      <c r="G401" s="137"/>
      <c r="H401" s="137"/>
      <c r="I401" s="137"/>
      <c r="J401" s="138"/>
    </row>
    <row r="402" spans="3:10" ht="20.25" customHeight="1">
      <c r="C402" s="207"/>
      <c r="D402" s="60">
        <v>394</v>
      </c>
      <c r="E402" s="136"/>
      <c r="F402" s="137"/>
      <c r="G402" s="137"/>
      <c r="H402" s="137"/>
      <c r="I402" s="137"/>
      <c r="J402" s="138"/>
    </row>
    <row r="403" spans="3:10" ht="20.25" customHeight="1">
      <c r="C403" s="207"/>
      <c r="D403" s="60">
        <v>395</v>
      </c>
      <c r="E403" s="136"/>
      <c r="F403" s="137"/>
      <c r="G403" s="137"/>
      <c r="H403" s="137"/>
      <c r="I403" s="137"/>
      <c r="J403" s="138"/>
    </row>
    <row r="404" spans="3:10" ht="20.25" customHeight="1">
      <c r="C404" s="207"/>
      <c r="D404" s="60">
        <v>396</v>
      </c>
      <c r="E404" s="136"/>
      <c r="F404" s="137"/>
      <c r="G404" s="137"/>
      <c r="H404" s="137"/>
      <c r="I404" s="137"/>
      <c r="J404" s="138"/>
    </row>
    <row r="405" spans="3:10" ht="20.25" customHeight="1">
      <c r="C405" s="207"/>
      <c r="D405" s="60">
        <v>397</v>
      </c>
      <c r="E405" s="136"/>
      <c r="F405" s="137"/>
      <c r="G405" s="137"/>
      <c r="H405" s="137"/>
      <c r="I405" s="137"/>
      <c r="J405" s="138"/>
    </row>
    <row r="406" spans="3:10" ht="20.25" customHeight="1">
      <c r="C406" s="207"/>
      <c r="D406" s="60">
        <v>398</v>
      </c>
      <c r="E406" s="136"/>
      <c r="F406" s="137"/>
      <c r="G406" s="137"/>
      <c r="H406" s="137"/>
      <c r="I406" s="137"/>
      <c r="J406" s="138"/>
    </row>
    <row r="407" spans="3:10" ht="20.25" customHeight="1">
      <c r="C407" s="207"/>
      <c r="D407" s="60">
        <v>399</v>
      </c>
      <c r="E407" s="136"/>
      <c r="F407" s="137"/>
      <c r="G407" s="137"/>
      <c r="H407" s="137"/>
      <c r="I407" s="137"/>
      <c r="J407" s="138"/>
    </row>
    <row r="408" spans="3:10" ht="20.25" customHeight="1">
      <c r="C408" s="207"/>
      <c r="D408" s="60">
        <v>400</v>
      </c>
      <c r="E408" s="136"/>
      <c r="F408" s="137"/>
      <c r="G408" s="137"/>
      <c r="H408" s="137"/>
      <c r="I408" s="137"/>
      <c r="J408" s="138"/>
    </row>
    <row r="409" spans="3:10" ht="20.25" customHeight="1">
      <c r="C409" s="207"/>
      <c r="D409" s="60">
        <v>401</v>
      </c>
      <c r="E409" s="136"/>
      <c r="F409" s="137"/>
      <c r="G409" s="137"/>
      <c r="H409" s="137"/>
      <c r="I409" s="137"/>
      <c r="J409" s="138"/>
    </row>
    <row r="410" spans="3:10" ht="20.25" customHeight="1">
      <c r="C410" s="207"/>
      <c r="D410" s="60">
        <v>402</v>
      </c>
      <c r="E410" s="136"/>
      <c r="F410" s="137"/>
      <c r="G410" s="137"/>
      <c r="H410" s="137"/>
      <c r="I410" s="137"/>
      <c r="J410" s="138"/>
    </row>
    <row r="411" spans="3:10" ht="20.25" customHeight="1">
      <c r="C411" s="207"/>
      <c r="D411" s="60">
        <v>403</v>
      </c>
      <c r="E411" s="136"/>
      <c r="F411" s="137"/>
      <c r="G411" s="137"/>
      <c r="H411" s="137"/>
      <c r="I411" s="137"/>
      <c r="J411" s="138"/>
    </row>
    <row r="412" spans="3:10" ht="20.25" customHeight="1">
      <c r="C412" s="207"/>
      <c r="D412" s="60">
        <v>404</v>
      </c>
      <c r="E412" s="136"/>
      <c r="F412" s="137"/>
      <c r="G412" s="137"/>
      <c r="H412" s="137"/>
      <c r="I412" s="137"/>
      <c r="J412" s="138"/>
    </row>
    <row r="413" spans="3:10" ht="20.25" customHeight="1">
      <c r="C413" s="207"/>
      <c r="D413" s="60">
        <v>405</v>
      </c>
      <c r="E413" s="136"/>
      <c r="F413" s="137"/>
      <c r="G413" s="137"/>
      <c r="H413" s="137"/>
      <c r="I413" s="137"/>
      <c r="J413" s="138"/>
    </row>
    <row r="414" spans="3:10" ht="20.25" customHeight="1">
      <c r="C414" s="207"/>
      <c r="D414" s="60">
        <v>406</v>
      </c>
      <c r="E414" s="136"/>
      <c r="F414" s="137"/>
      <c r="G414" s="137"/>
      <c r="H414" s="137"/>
      <c r="I414" s="137"/>
      <c r="J414" s="138"/>
    </row>
    <row r="415" spans="3:10" ht="20.25" customHeight="1">
      <c r="C415" s="207"/>
      <c r="D415" s="60">
        <v>407</v>
      </c>
      <c r="E415" s="136"/>
      <c r="F415" s="137"/>
      <c r="G415" s="137"/>
      <c r="H415" s="137"/>
      <c r="I415" s="137"/>
      <c r="J415" s="138"/>
    </row>
    <row r="416" spans="3:10" ht="20.25" customHeight="1">
      <c r="C416" s="207"/>
      <c r="D416" s="60">
        <v>408</v>
      </c>
      <c r="E416" s="136"/>
      <c r="F416" s="137"/>
      <c r="G416" s="137"/>
      <c r="H416" s="137"/>
      <c r="I416" s="137"/>
      <c r="J416" s="138"/>
    </row>
    <row r="417" spans="3:10" ht="20.25" customHeight="1">
      <c r="C417" s="207"/>
      <c r="D417" s="60">
        <v>409</v>
      </c>
      <c r="E417" s="136"/>
      <c r="F417" s="137"/>
      <c r="G417" s="137"/>
      <c r="H417" s="137"/>
      <c r="I417" s="137"/>
      <c r="J417" s="138"/>
    </row>
    <row r="418" spans="3:10" ht="20.25" customHeight="1">
      <c r="C418" s="207"/>
      <c r="D418" s="60">
        <v>410</v>
      </c>
      <c r="E418" s="136"/>
      <c r="F418" s="137"/>
      <c r="G418" s="137"/>
      <c r="H418" s="137"/>
      <c r="I418" s="137"/>
      <c r="J418" s="138"/>
    </row>
    <row r="419" spans="3:10" ht="20.25" customHeight="1">
      <c r="C419" s="207"/>
      <c r="D419" s="60">
        <v>411</v>
      </c>
      <c r="E419" s="136"/>
      <c r="F419" s="137"/>
      <c r="G419" s="137"/>
      <c r="H419" s="137"/>
      <c r="I419" s="137"/>
      <c r="J419" s="138"/>
    </row>
    <row r="420" spans="3:10" ht="20.25" customHeight="1">
      <c r="C420" s="207"/>
      <c r="D420" s="60">
        <v>412</v>
      </c>
      <c r="E420" s="136"/>
      <c r="F420" s="137"/>
      <c r="G420" s="137"/>
      <c r="H420" s="137"/>
      <c r="I420" s="137"/>
      <c r="J420" s="138"/>
    </row>
    <row r="421" spans="3:10" ht="20.25" customHeight="1">
      <c r="C421" s="207"/>
      <c r="D421" s="60">
        <v>413</v>
      </c>
      <c r="E421" s="136"/>
      <c r="F421" s="137"/>
      <c r="G421" s="137"/>
      <c r="H421" s="137"/>
      <c r="I421" s="137"/>
      <c r="J421" s="138"/>
    </row>
    <row r="422" spans="3:10" ht="20.25" customHeight="1">
      <c r="C422" s="207"/>
      <c r="D422" s="60">
        <v>414</v>
      </c>
      <c r="E422" s="136"/>
      <c r="F422" s="137"/>
      <c r="G422" s="137"/>
      <c r="H422" s="137"/>
      <c r="I422" s="137"/>
      <c r="J422" s="138"/>
    </row>
    <row r="423" spans="3:10" ht="20.25" customHeight="1">
      <c r="C423" s="207"/>
      <c r="D423" s="60">
        <v>415</v>
      </c>
      <c r="E423" s="136"/>
      <c r="F423" s="137"/>
      <c r="G423" s="137"/>
      <c r="H423" s="137"/>
      <c r="I423" s="137"/>
      <c r="J423" s="138"/>
    </row>
    <row r="424" spans="3:10" ht="20.25" customHeight="1">
      <c r="C424" s="207"/>
      <c r="D424" s="60">
        <v>416</v>
      </c>
      <c r="E424" s="136"/>
      <c r="F424" s="137"/>
      <c r="G424" s="137"/>
      <c r="H424" s="137"/>
      <c r="I424" s="137"/>
      <c r="J424" s="138"/>
    </row>
    <row r="425" spans="3:10" ht="20.25" customHeight="1">
      <c r="C425" s="207"/>
      <c r="D425" s="60">
        <v>417</v>
      </c>
      <c r="E425" s="136"/>
      <c r="F425" s="137"/>
      <c r="G425" s="137"/>
      <c r="H425" s="137"/>
      <c r="I425" s="137"/>
      <c r="J425" s="138"/>
    </row>
    <row r="426" spans="3:10" ht="20.25" customHeight="1">
      <c r="C426" s="207"/>
      <c r="D426" s="60">
        <v>418</v>
      </c>
      <c r="E426" s="136"/>
      <c r="F426" s="137"/>
      <c r="G426" s="137"/>
      <c r="H426" s="137"/>
      <c r="I426" s="137"/>
      <c r="J426" s="138"/>
    </row>
    <row r="427" spans="3:10" ht="20.25" customHeight="1">
      <c r="C427" s="207"/>
      <c r="D427" s="60">
        <v>419</v>
      </c>
      <c r="E427" s="136"/>
      <c r="F427" s="137"/>
      <c r="G427" s="137"/>
      <c r="H427" s="137"/>
      <c r="I427" s="137"/>
      <c r="J427" s="138"/>
    </row>
    <row r="428" spans="3:10" ht="20.25" customHeight="1">
      <c r="C428" s="207"/>
      <c r="D428" s="60">
        <v>420</v>
      </c>
      <c r="E428" s="136"/>
      <c r="F428" s="137"/>
      <c r="G428" s="137"/>
      <c r="H428" s="137"/>
      <c r="I428" s="137"/>
      <c r="J428" s="138"/>
    </row>
    <row r="429" spans="3:10" ht="20.25" customHeight="1">
      <c r="C429" s="207"/>
      <c r="D429" s="60">
        <v>421</v>
      </c>
      <c r="E429" s="136"/>
      <c r="F429" s="137"/>
      <c r="G429" s="137"/>
      <c r="H429" s="137"/>
      <c r="I429" s="137"/>
      <c r="J429" s="138"/>
    </row>
    <row r="430" spans="3:10" ht="20.25" customHeight="1">
      <c r="C430" s="207"/>
      <c r="D430" s="60">
        <v>422</v>
      </c>
      <c r="E430" s="136"/>
      <c r="F430" s="137"/>
      <c r="G430" s="137"/>
      <c r="H430" s="137"/>
      <c r="I430" s="137"/>
      <c r="J430" s="138"/>
    </row>
    <row r="431" spans="3:10" ht="20.25" customHeight="1">
      <c r="C431" s="207"/>
      <c r="D431" s="60">
        <v>423</v>
      </c>
      <c r="E431" s="136"/>
      <c r="F431" s="137"/>
      <c r="G431" s="137"/>
      <c r="H431" s="137"/>
      <c r="I431" s="137"/>
      <c r="J431" s="138"/>
    </row>
    <row r="432" spans="3:10" ht="20.25" customHeight="1">
      <c r="C432" s="207"/>
      <c r="D432" s="60">
        <v>424</v>
      </c>
      <c r="E432" s="136"/>
      <c r="F432" s="137"/>
      <c r="G432" s="137"/>
      <c r="H432" s="137"/>
      <c r="I432" s="137"/>
      <c r="J432" s="138"/>
    </row>
    <row r="433" spans="3:10" ht="20.25" customHeight="1">
      <c r="C433" s="207"/>
      <c r="D433" s="60">
        <v>425</v>
      </c>
      <c r="E433" s="136"/>
      <c r="F433" s="137"/>
      <c r="G433" s="137"/>
      <c r="H433" s="137"/>
      <c r="I433" s="137"/>
      <c r="J433" s="138"/>
    </row>
    <row r="434" spans="3:10" ht="20.25" customHeight="1">
      <c r="C434" s="207"/>
      <c r="D434" s="60">
        <v>426</v>
      </c>
      <c r="E434" s="136"/>
      <c r="F434" s="137"/>
      <c r="G434" s="137"/>
      <c r="H434" s="137"/>
      <c r="I434" s="137"/>
      <c r="J434" s="138"/>
    </row>
    <row r="435" spans="3:10" ht="20.25" customHeight="1">
      <c r="C435" s="207"/>
      <c r="D435" s="60">
        <v>427</v>
      </c>
      <c r="E435" s="136"/>
      <c r="F435" s="137"/>
      <c r="G435" s="137"/>
      <c r="H435" s="137"/>
      <c r="I435" s="137"/>
      <c r="J435" s="138"/>
    </row>
    <row r="436" spans="3:10" ht="20.25" customHeight="1">
      <c r="C436" s="207"/>
      <c r="D436" s="60">
        <v>428</v>
      </c>
      <c r="E436" s="136"/>
      <c r="F436" s="137"/>
      <c r="G436" s="137"/>
      <c r="H436" s="137"/>
      <c r="I436" s="137"/>
      <c r="J436" s="138"/>
    </row>
    <row r="437" spans="3:10" ht="20.25" customHeight="1">
      <c r="C437" s="207"/>
      <c r="D437" s="60">
        <v>429</v>
      </c>
      <c r="E437" s="136"/>
      <c r="F437" s="137"/>
      <c r="G437" s="137"/>
      <c r="H437" s="137"/>
      <c r="I437" s="137"/>
      <c r="J437" s="138"/>
    </row>
    <row r="438" spans="3:10" ht="20.25" customHeight="1">
      <c r="C438" s="207"/>
      <c r="D438" s="60">
        <v>430</v>
      </c>
      <c r="E438" s="136"/>
      <c r="F438" s="137"/>
      <c r="G438" s="137"/>
      <c r="H438" s="137"/>
      <c r="I438" s="137"/>
      <c r="J438" s="138"/>
    </row>
    <row r="439" spans="3:10" ht="20.25" customHeight="1">
      <c r="C439" s="207"/>
      <c r="D439" s="60">
        <v>431</v>
      </c>
      <c r="E439" s="136"/>
      <c r="F439" s="137"/>
      <c r="G439" s="137"/>
      <c r="H439" s="137"/>
      <c r="I439" s="137"/>
      <c r="J439" s="138"/>
    </row>
    <row r="440" spans="3:10" ht="20.25" customHeight="1">
      <c r="C440" s="207"/>
      <c r="D440" s="60">
        <v>432</v>
      </c>
      <c r="E440" s="136"/>
      <c r="F440" s="137"/>
      <c r="G440" s="137"/>
      <c r="H440" s="137"/>
      <c r="I440" s="137"/>
      <c r="J440" s="138"/>
    </row>
    <row r="441" spans="3:10" ht="20.25" customHeight="1">
      <c r="C441" s="207"/>
      <c r="D441" s="60">
        <v>433</v>
      </c>
      <c r="E441" s="136"/>
      <c r="F441" s="137"/>
      <c r="G441" s="137"/>
      <c r="H441" s="137"/>
      <c r="I441" s="137"/>
      <c r="J441" s="138"/>
    </row>
    <row r="442" spans="3:10" ht="20.25" customHeight="1">
      <c r="C442" s="207"/>
      <c r="D442" s="60">
        <v>434</v>
      </c>
      <c r="E442" s="136"/>
      <c r="F442" s="137"/>
      <c r="G442" s="137"/>
      <c r="H442" s="137"/>
      <c r="I442" s="137"/>
      <c r="J442" s="138"/>
    </row>
    <row r="443" spans="3:10" ht="20.25" customHeight="1">
      <c r="C443" s="207"/>
      <c r="D443" s="60">
        <v>435</v>
      </c>
      <c r="E443" s="136"/>
      <c r="F443" s="137"/>
      <c r="G443" s="137"/>
      <c r="H443" s="137"/>
      <c r="I443" s="137"/>
      <c r="J443" s="138"/>
    </row>
    <row r="444" spans="3:10" ht="20.25" customHeight="1">
      <c r="C444" s="207"/>
      <c r="D444" s="60">
        <v>436</v>
      </c>
      <c r="E444" s="136"/>
      <c r="F444" s="137"/>
      <c r="G444" s="137"/>
      <c r="H444" s="137"/>
      <c r="I444" s="137"/>
      <c r="J444" s="138"/>
    </row>
    <row r="445" spans="3:10" ht="20.25" customHeight="1">
      <c r="C445" s="207"/>
      <c r="D445" s="60">
        <v>437</v>
      </c>
      <c r="E445" s="136"/>
      <c r="F445" s="137"/>
      <c r="G445" s="137"/>
      <c r="H445" s="137"/>
      <c r="I445" s="137"/>
      <c r="J445" s="138"/>
    </row>
    <row r="446" spans="3:10" ht="20.25" customHeight="1">
      <c r="C446" s="207"/>
      <c r="D446" s="60">
        <v>438</v>
      </c>
      <c r="E446" s="136"/>
      <c r="F446" s="137"/>
      <c r="G446" s="137"/>
      <c r="H446" s="137"/>
      <c r="I446" s="137"/>
      <c r="J446" s="138"/>
    </row>
    <row r="447" spans="3:10" ht="20.25" customHeight="1">
      <c r="C447" s="207"/>
      <c r="D447" s="60">
        <v>439</v>
      </c>
      <c r="E447" s="136"/>
      <c r="F447" s="137"/>
      <c r="G447" s="137"/>
      <c r="H447" s="137"/>
      <c r="I447" s="137"/>
      <c r="J447" s="138"/>
    </row>
    <row r="448" spans="3:10" ht="20.25" customHeight="1">
      <c r="C448" s="207"/>
      <c r="D448" s="60">
        <v>440</v>
      </c>
      <c r="E448" s="136"/>
      <c r="F448" s="137"/>
      <c r="G448" s="137"/>
      <c r="H448" s="137"/>
      <c r="I448" s="137"/>
      <c r="J448" s="138"/>
    </row>
    <row r="449" spans="3:10" ht="20.25" customHeight="1">
      <c r="C449" s="207"/>
      <c r="D449" s="60">
        <v>441</v>
      </c>
      <c r="E449" s="136"/>
      <c r="F449" s="137"/>
      <c r="G449" s="137"/>
      <c r="H449" s="137"/>
      <c r="I449" s="137"/>
      <c r="J449" s="138"/>
    </row>
    <row r="450" spans="3:10" ht="20.25" customHeight="1">
      <c r="C450" s="207"/>
      <c r="D450" s="60">
        <v>442</v>
      </c>
      <c r="E450" s="136"/>
      <c r="F450" s="137"/>
      <c r="G450" s="137"/>
      <c r="H450" s="137"/>
      <c r="I450" s="137"/>
      <c r="J450" s="138"/>
    </row>
    <row r="451" spans="3:10" ht="20.25" customHeight="1">
      <c r="C451" s="207"/>
      <c r="D451" s="60">
        <v>443</v>
      </c>
      <c r="E451" s="136"/>
      <c r="F451" s="137"/>
      <c r="G451" s="137"/>
      <c r="H451" s="137"/>
      <c r="I451" s="137"/>
      <c r="J451" s="138"/>
    </row>
    <row r="452" spans="3:10" ht="20.25" customHeight="1">
      <c r="C452" s="207"/>
      <c r="D452" s="60">
        <v>444</v>
      </c>
      <c r="E452" s="136"/>
      <c r="F452" s="137"/>
      <c r="G452" s="137"/>
      <c r="H452" s="137"/>
      <c r="I452" s="137"/>
      <c r="J452" s="138"/>
    </row>
    <row r="453" spans="3:10" ht="20.25" customHeight="1">
      <c r="C453" s="207"/>
      <c r="D453" s="60">
        <v>445</v>
      </c>
      <c r="E453" s="136"/>
      <c r="F453" s="137"/>
      <c r="G453" s="137"/>
      <c r="H453" s="137"/>
      <c r="I453" s="137"/>
      <c r="J453" s="138"/>
    </row>
    <row r="454" spans="3:10" ht="20.25" customHeight="1">
      <c r="C454" s="207"/>
      <c r="D454" s="60">
        <v>446</v>
      </c>
      <c r="E454" s="136"/>
      <c r="F454" s="137"/>
      <c r="G454" s="137"/>
      <c r="H454" s="137"/>
      <c r="I454" s="137"/>
      <c r="J454" s="138"/>
    </row>
    <row r="455" spans="3:10" ht="20.25" customHeight="1">
      <c r="C455" s="207"/>
      <c r="D455" s="60">
        <v>447</v>
      </c>
      <c r="E455" s="136"/>
      <c r="F455" s="137"/>
      <c r="G455" s="137"/>
      <c r="H455" s="137"/>
      <c r="I455" s="137"/>
      <c r="J455" s="138"/>
    </row>
    <row r="456" spans="3:10" ht="20.25" customHeight="1">
      <c r="C456" s="207"/>
      <c r="D456" s="60">
        <v>448</v>
      </c>
      <c r="E456" s="136"/>
      <c r="F456" s="137"/>
      <c r="G456" s="137"/>
      <c r="H456" s="137"/>
      <c r="I456" s="137"/>
      <c r="J456" s="138"/>
    </row>
    <row r="457" spans="3:10" ht="20.25" customHeight="1">
      <c r="C457" s="207"/>
      <c r="D457" s="60">
        <v>449</v>
      </c>
      <c r="E457" s="136"/>
      <c r="F457" s="137"/>
      <c r="G457" s="137"/>
      <c r="H457" s="137"/>
      <c r="I457" s="137"/>
      <c r="J457" s="138"/>
    </row>
    <row r="458" spans="3:10" ht="20.25" customHeight="1">
      <c r="C458" s="207"/>
      <c r="D458" s="60">
        <v>450</v>
      </c>
      <c r="E458" s="136"/>
      <c r="F458" s="137"/>
      <c r="G458" s="137"/>
      <c r="H458" s="137"/>
      <c r="I458" s="137"/>
      <c r="J458" s="138"/>
    </row>
    <row r="459" spans="3:10" ht="20.25" customHeight="1">
      <c r="C459" s="207"/>
      <c r="D459" s="60">
        <v>451</v>
      </c>
      <c r="E459" s="136"/>
      <c r="F459" s="137"/>
      <c r="G459" s="137"/>
      <c r="H459" s="137"/>
      <c r="I459" s="137"/>
      <c r="J459" s="138"/>
    </row>
    <row r="460" spans="3:10" ht="20.25" customHeight="1">
      <c r="C460" s="207"/>
      <c r="D460" s="60">
        <v>452</v>
      </c>
      <c r="E460" s="136"/>
      <c r="F460" s="137"/>
      <c r="G460" s="137"/>
      <c r="H460" s="137"/>
      <c r="I460" s="137"/>
      <c r="J460" s="138"/>
    </row>
    <row r="461" spans="3:10" ht="20.25" customHeight="1">
      <c r="C461" s="207"/>
      <c r="D461" s="60">
        <v>453</v>
      </c>
      <c r="E461" s="136"/>
      <c r="F461" s="137"/>
      <c r="G461" s="137"/>
      <c r="H461" s="137"/>
      <c r="I461" s="137"/>
      <c r="J461" s="138"/>
    </row>
    <row r="462" spans="3:10" ht="20.25" customHeight="1">
      <c r="C462" s="207"/>
      <c r="D462" s="60">
        <v>454</v>
      </c>
      <c r="E462" s="136"/>
      <c r="F462" s="137"/>
      <c r="G462" s="137"/>
      <c r="H462" s="137"/>
      <c r="I462" s="137"/>
      <c r="J462" s="138"/>
    </row>
    <row r="463" spans="3:10" ht="20.25" customHeight="1">
      <c r="C463" s="207"/>
      <c r="D463" s="60">
        <v>455</v>
      </c>
      <c r="E463" s="136"/>
      <c r="F463" s="137"/>
      <c r="G463" s="137"/>
      <c r="H463" s="137"/>
      <c r="I463" s="137"/>
      <c r="J463" s="138"/>
    </row>
    <row r="464" spans="3:10" ht="20.25" customHeight="1">
      <c r="C464" s="207"/>
      <c r="D464" s="60">
        <v>456</v>
      </c>
      <c r="E464" s="136"/>
      <c r="F464" s="137"/>
      <c r="G464" s="137"/>
      <c r="H464" s="137"/>
      <c r="I464" s="137"/>
      <c r="J464" s="138"/>
    </row>
    <row r="465" spans="3:10" ht="20.25" customHeight="1">
      <c r="C465" s="207"/>
      <c r="D465" s="60">
        <v>457</v>
      </c>
      <c r="E465" s="136"/>
      <c r="F465" s="137"/>
      <c r="G465" s="137"/>
      <c r="H465" s="137"/>
      <c r="I465" s="137"/>
      <c r="J465" s="138"/>
    </row>
    <row r="466" spans="3:10" ht="20.25" customHeight="1">
      <c r="C466" s="207"/>
      <c r="D466" s="60">
        <v>458</v>
      </c>
      <c r="E466" s="136"/>
      <c r="F466" s="137"/>
      <c r="G466" s="137"/>
      <c r="H466" s="137"/>
      <c r="I466" s="137"/>
      <c r="J466" s="138"/>
    </row>
    <row r="467" spans="3:10" ht="20.25" customHeight="1">
      <c r="C467" s="207"/>
      <c r="D467" s="60">
        <v>459</v>
      </c>
      <c r="E467" s="136"/>
      <c r="F467" s="137"/>
      <c r="G467" s="137"/>
      <c r="H467" s="137"/>
      <c r="I467" s="137"/>
      <c r="J467" s="138"/>
    </row>
    <row r="468" spans="3:10" ht="20.25" customHeight="1">
      <c r="C468" s="207"/>
      <c r="D468" s="60">
        <v>460</v>
      </c>
      <c r="E468" s="136"/>
      <c r="F468" s="137"/>
      <c r="G468" s="137"/>
      <c r="H468" s="137"/>
      <c r="I468" s="137"/>
      <c r="J468" s="138"/>
    </row>
    <row r="469" spans="3:10" ht="20.25" customHeight="1">
      <c r="C469" s="207"/>
      <c r="D469" s="60">
        <v>461</v>
      </c>
      <c r="E469" s="136"/>
      <c r="F469" s="137"/>
      <c r="G469" s="137"/>
      <c r="H469" s="137"/>
      <c r="I469" s="137"/>
      <c r="J469" s="138"/>
    </row>
    <row r="470" spans="3:10" ht="20.25" customHeight="1">
      <c r="C470" s="207"/>
      <c r="D470" s="60">
        <v>462</v>
      </c>
      <c r="E470" s="136"/>
      <c r="F470" s="137"/>
      <c r="G470" s="137"/>
      <c r="H470" s="137"/>
      <c r="I470" s="137"/>
      <c r="J470" s="138"/>
    </row>
    <row r="471" spans="3:10" ht="20.25" customHeight="1">
      <c r="C471" s="207"/>
      <c r="D471" s="60">
        <v>463</v>
      </c>
      <c r="E471" s="136"/>
      <c r="F471" s="137"/>
      <c r="G471" s="137"/>
      <c r="H471" s="137"/>
      <c r="I471" s="137"/>
      <c r="J471" s="138"/>
    </row>
    <row r="472" spans="3:10" ht="20.25" customHeight="1">
      <c r="C472" s="207"/>
      <c r="D472" s="60">
        <v>464</v>
      </c>
      <c r="E472" s="136"/>
      <c r="F472" s="137"/>
      <c r="G472" s="137"/>
      <c r="H472" s="137"/>
      <c r="I472" s="137"/>
      <c r="J472" s="138"/>
    </row>
    <row r="473" spans="3:10" ht="20.25" customHeight="1">
      <c r="C473" s="207"/>
      <c r="D473" s="60">
        <v>465</v>
      </c>
      <c r="E473" s="136"/>
      <c r="F473" s="137"/>
      <c r="G473" s="137"/>
      <c r="H473" s="137"/>
      <c r="I473" s="137"/>
      <c r="J473" s="138"/>
    </row>
    <row r="474" spans="3:10" ht="20.25" customHeight="1">
      <c r="C474" s="207"/>
      <c r="D474" s="60">
        <v>466</v>
      </c>
      <c r="E474" s="136"/>
      <c r="F474" s="137"/>
      <c r="G474" s="137"/>
      <c r="H474" s="137"/>
      <c r="I474" s="137"/>
      <c r="J474" s="138"/>
    </row>
    <row r="475" spans="3:10" ht="20.25" customHeight="1">
      <c r="C475" s="207"/>
      <c r="D475" s="60">
        <v>467</v>
      </c>
      <c r="E475" s="136"/>
      <c r="F475" s="137"/>
      <c r="G475" s="137"/>
      <c r="H475" s="137"/>
      <c r="I475" s="137"/>
      <c r="J475" s="138"/>
    </row>
    <row r="476" spans="3:10" ht="20.25" customHeight="1">
      <c r="C476" s="207"/>
      <c r="D476" s="60">
        <v>468</v>
      </c>
      <c r="E476" s="136"/>
      <c r="F476" s="137"/>
      <c r="G476" s="137"/>
      <c r="H476" s="137"/>
      <c r="I476" s="137"/>
      <c r="J476" s="138"/>
    </row>
    <row r="477" spans="3:10" ht="20.25" customHeight="1">
      <c r="C477" s="207"/>
      <c r="D477" s="60">
        <v>469</v>
      </c>
      <c r="E477" s="136"/>
      <c r="F477" s="137"/>
      <c r="G477" s="137"/>
      <c r="H477" s="137"/>
      <c r="I477" s="137"/>
      <c r="J477" s="138"/>
    </row>
    <row r="478" spans="3:10" ht="20.25" customHeight="1">
      <c r="C478" s="207"/>
      <c r="D478" s="60">
        <v>470</v>
      </c>
      <c r="E478" s="136"/>
      <c r="F478" s="137"/>
      <c r="G478" s="137"/>
      <c r="H478" s="137"/>
      <c r="I478" s="137"/>
      <c r="J478" s="138"/>
    </row>
    <row r="479" spans="3:10" ht="20.25" customHeight="1">
      <c r="C479" s="207"/>
      <c r="D479" s="60">
        <v>471</v>
      </c>
      <c r="E479" s="136"/>
      <c r="F479" s="137"/>
      <c r="G479" s="137"/>
      <c r="H479" s="137"/>
      <c r="I479" s="137"/>
      <c r="J479" s="138"/>
    </row>
    <row r="480" spans="3:10" ht="20.25" customHeight="1">
      <c r="C480" s="207"/>
      <c r="D480" s="60">
        <v>472</v>
      </c>
      <c r="E480" s="136"/>
      <c r="F480" s="137"/>
      <c r="G480" s="137"/>
      <c r="H480" s="137"/>
      <c r="I480" s="137"/>
      <c r="J480" s="138"/>
    </row>
    <row r="481" spans="3:10" ht="20.25" customHeight="1">
      <c r="C481" s="207"/>
      <c r="D481" s="60">
        <v>473</v>
      </c>
      <c r="E481" s="136"/>
      <c r="F481" s="137"/>
      <c r="G481" s="137"/>
      <c r="H481" s="137"/>
      <c r="I481" s="137"/>
      <c r="J481" s="138"/>
    </row>
    <row r="482" spans="3:10" ht="20.25" customHeight="1">
      <c r="C482" s="207"/>
      <c r="D482" s="60">
        <v>474</v>
      </c>
      <c r="E482" s="136"/>
      <c r="F482" s="137"/>
      <c r="G482" s="137"/>
      <c r="H482" s="137"/>
      <c r="I482" s="137"/>
      <c r="J482" s="138"/>
    </row>
    <row r="483" spans="3:10" ht="20.25" customHeight="1">
      <c r="C483" s="207"/>
      <c r="D483" s="60">
        <v>475</v>
      </c>
      <c r="E483" s="136"/>
      <c r="F483" s="137"/>
      <c r="G483" s="137"/>
      <c r="H483" s="137"/>
      <c r="I483" s="137"/>
      <c r="J483" s="138"/>
    </row>
    <row r="484" spans="3:10" ht="20.25" customHeight="1">
      <c r="C484" s="207"/>
      <c r="D484" s="60">
        <v>476</v>
      </c>
      <c r="E484" s="136"/>
      <c r="F484" s="137"/>
      <c r="G484" s="137"/>
      <c r="H484" s="137"/>
      <c r="I484" s="137"/>
      <c r="J484" s="138"/>
    </row>
    <row r="485" spans="3:10" ht="20.25" customHeight="1">
      <c r="C485" s="207"/>
      <c r="D485" s="60">
        <v>477</v>
      </c>
      <c r="E485" s="136"/>
      <c r="F485" s="137"/>
      <c r="G485" s="137"/>
      <c r="H485" s="137"/>
      <c r="I485" s="137"/>
      <c r="J485" s="138"/>
    </row>
    <row r="486" spans="3:10" ht="20.25" customHeight="1">
      <c r="C486" s="207"/>
      <c r="D486" s="60">
        <v>478</v>
      </c>
      <c r="E486" s="136"/>
      <c r="F486" s="137"/>
      <c r="G486" s="137"/>
      <c r="H486" s="137"/>
      <c r="I486" s="137"/>
      <c r="J486" s="138"/>
    </row>
    <row r="487" spans="3:10" ht="20.25" customHeight="1">
      <c r="C487" s="207"/>
      <c r="D487" s="60">
        <v>479</v>
      </c>
      <c r="E487" s="136"/>
      <c r="F487" s="137"/>
      <c r="G487" s="137"/>
      <c r="H487" s="137"/>
      <c r="I487" s="137"/>
      <c r="J487" s="138"/>
    </row>
    <row r="488" spans="3:10" ht="20.25" customHeight="1">
      <c r="C488" s="207"/>
      <c r="D488" s="60">
        <v>480</v>
      </c>
      <c r="E488" s="136"/>
      <c r="F488" s="137"/>
      <c r="G488" s="137"/>
      <c r="H488" s="137"/>
      <c r="I488" s="137"/>
      <c r="J488" s="138"/>
    </row>
    <row r="489" spans="3:10" ht="20.25" customHeight="1">
      <c r="C489" s="207"/>
      <c r="D489" s="60">
        <v>481</v>
      </c>
      <c r="E489" s="136"/>
      <c r="F489" s="137"/>
      <c r="G489" s="137"/>
      <c r="H489" s="137"/>
      <c r="I489" s="137"/>
      <c r="J489" s="138"/>
    </row>
    <row r="490" spans="3:10" ht="20.25" customHeight="1">
      <c r="C490" s="207"/>
      <c r="D490" s="60">
        <v>482</v>
      </c>
      <c r="E490" s="136"/>
      <c r="F490" s="137"/>
      <c r="G490" s="137"/>
      <c r="H490" s="137"/>
      <c r="I490" s="137"/>
      <c r="J490" s="138"/>
    </row>
    <row r="491" spans="3:10" ht="20.25" customHeight="1">
      <c r="C491" s="207"/>
      <c r="D491" s="60">
        <v>483</v>
      </c>
      <c r="E491" s="136"/>
      <c r="F491" s="137"/>
      <c r="G491" s="137"/>
      <c r="H491" s="137"/>
      <c r="I491" s="137"/>
      <c r="J491" s="138"/>
    </row>
    <row r="492" spans="3:10" ht="20.25" customHeight="1">
      <c r="C492" s="207"/>
      <c r="D492" s="60">
        <v>484</v>
      </c>
      <c r="E492" s="136"/>
      <c r="F492" s="137"/>
      <c r="G492" s="137"/>
      <c r="H492" s="137"/>
      <c r="I492" s="137"/>
      <c r="J492" s="138"/>
    </row>
    <row r="493" spans="3:10" ht="20.25" customHeight="1">
      <c r="C493" s="207"/>
      <c r="D493" s="60">
        <v>485</v>
      </c>
      <c r="E493" s="136"/>
      <c r="F493" s="137"/>
      <c r="G493" s="137"/>
      <c r="H493" s="137"/>
      <c r="I493" s="137"/>
      <c r="J493" s="138"/>
    </row>
    <row r="494" spans="3:10" ht="20.25" customHeight="1">
      <c r="C494" s="207"/>
      <c r="D494" s="60">
        <v>486</v>
      </c>
      <c r="E494" s="136"/>
      <c r="F494" s="137"/>
      <c r="G494" s="137"/>
      <c r="H494" s="137"/>
      <c r="I494" s="137"/>
      <c r="J494" s="138"/>
    </row>
    <row r="495" spans="3:10" ht="20.25" customHeight="1">
      <c r="C495" s="207"/>
      <c r="D495" s="60">
        <v>487</v>
      </c>
      <c r="E495" s="136"/>
      <c r="F495" s="137"/>
      <c r="G495" s="137"/>
      <c r="H495" s="137"/>
      <c r="I495" s="137"/>
      <c r="J495" s="138"/>
    </row>
    <row r="496" spans="3:10" ht="20.25" customHeight="1">
      <c r="C496" s="207"/>
      <c r="D496" s="60">
        <v>488</v>
      </c>
      <c r="E496" s="136"/>
      <c r="F496" s="137"/>
      <c r="G496" s="137"/>
      <c r="H496" s="137"/>
      <c r="I496" s="137"/>
      <c r="J496" s="138"/>
    </row>
    <row r="497" spans="3:10" ht="20.25" customHeight="1">
      <c r="C497" s="207"/>
      <c r="D497" s="60">
        <v>489</v>
      </c>
      <c r="E497" s="136"/>
      <c r="F497" s="137"/>
      <c r="G497" s="137"/>
      <c r="H497" s="137"/>
      <c r="I497" s="137"/>
      <c r="J497" s="138"/>
    </row>
    <row r="498" spans="3:10" ht="20.25" customHeight="1">
      <c r="C498" s="207"/>
      <c r="D498" s="60">
        <v>490</v>
      </c>
      <c r="E498" s="136"/>
      <c r="F498" s="137"/>
      <c r="G498" s="137"/>
      <c r="H498" s="137"/>
      <c r="I498" s="137"/>
      <c r="J498" s="138"/>
    </row>
    <row r="499" spans="3:10" ht="20.25" customHeight="1">
      <c r="C499" s="207"/>
      <c r="D499" s="60">
        <v>491</v>
      </c>
      <c r="E499" s="136"/>
      <c r="F499" s="137"/>
      <c r="G499" s="137"/>
      <c r="H499" s="137"/>
      <c r="I499" s="137"/>
      <c r="J499" s="138"/>
    </row>
    <row r="500" spans="3:10" ht="20.25" customHeight="1">
      <c r="C500" s="207"/>
      <c r="D500" s="60">
        <v>492</v>
      </c>
      <c r="E500" s="136"/>
      <c r="F500" s="137"/>
      <c r="G500" s="137"/>
      <c r="H500" s="137"/>
      <c r="I500" s="137"/>
      <c r="J500" s="138"/>
    </row>
    <row r="501" spans="3:10" ht="20.25" customHeight="1">
      <c r="C501" s="207"/>
      <c r="D501" s="60">
        <v>493</v>
      </c>
      <c r="E501" s="136"/>
      <c r="F501" s="137"/>
      <c r="G501" s="137"/>
      <c r="H501" s="137"/>
      <c r="I501" s="137"/>
      <c r="J501" s="138"/>
    </row>
    <row r="502" spans="3:10" ht="20.25" customHeight="1">
      <c r="C502" s="207"/>
      <c r="D502" s="60">
        <v>494</v>
      </c>
      <c r="E502" s="136"/>
      <c r="F502" s="137"/>
      <c r="G502" s="137"/>
      <c r="H502" s="137"/>
      <c r="I502" s="137"/>
      <c r="J502" s="138"/>
    </row>
    <row r="503" spans="3:10" ht="20.25" customHeight="1">
      <c r="C503" s="207"/>
      <c r="D503" s="60">
        <v>495</v>
      </c>
      <c r="E503" s="136"/>
      <c r="F503" s="137"/>
      <c r="G503" s="137"/>
      <c r="H503" s="137"/>
      <c r="I503" s="137"/>
      <c r="J503" s="138"/>
    </row>
    <row r="504" spans="3:10" ht="20.25" customHeight="1">
      <c r="C504" s="207"/>
      <c r="D504" s="60">
        <v>496</v>
      </c>
      <c r="E504" s="136"/>
      <c r="F504" s="137"/>
      <c r="G504" s="137"/>
      <c r="H504" s="137"/>
      <c r="I504" s="137"/>
      <c r="J504" s="138"/>
    </row>
    <row r="505" spans="3:10" ht="20.25" customHeight="1">
      <c r="C505" s="207"/>
      <c r="D505" s="60">
        <v>497</v>
      </c>
      <c r="E505" s="136"/>
      <c r="F505" s="137"/>
      <c r="G505" s="137"/>
      <c r="H505" s="137"/>
      <c r="I505" s="137"/>
      <c r="J505" s="138"/>
    </row>
    <row r="506" spans="3:10" ht="20.25" customHeight="1">
      <c r="C506" s="207"/>
      <c r="D506" s="60">
        <v>498</v>
      </c>
      <c r="E506" s="136"/>
      <c r="F506" s="137"/>
      <c r="G506" s="137"/>
      <c r="H506" s="137"/>
      <c r="I506" s="137"/>
      <c r="J506" s="138"/>
    </row>
    <row r="507" spans="3:10" ht="20.25" customHeight="1">
      <c r="C507" s="207"/>
      <c r="D507" s="60">
        <v>499</v>
      </c>
      <c r="E507" s="136"/>
      <c r="F507" s="137"/>
      <c r="G507" s="137"/>
      <c r="H507" s="137"/>
      <c r="I507" s="137"/>
      <c r="J507" s="138"/>
    </row>
    <row r="508" spans="3:10" ht="20.25" customHeight="1">
      <c r="C508" s="207"/>
      <c r="D508" s="60">
        <v>500</v>
      </c>
      <c r="E508" s="136"/>
      <c r="F508" s="137"/>
      <c r="G508" s="137"/>
      <c r="H508" s="137"/>
      <c r="I508" s="137"/>
      <c r="J508" s="138"/>
    </row>
    <row r="509" spans="3:10" ht="20.25" customHeight="1">
      <c r="C509" s="207"/>
      <c r="D509" s="60">
        <v>501</v>
      </c>
      <c r="E509" s="136"/>
      <c r="F509" s="137"/>
      <c r="G509" s="137"/>
      <c r="H509" s="137"/>
      <c r="I509" s="137"/>
      <c r="J509" s="138"/>
    </row>
    <row r="510" spans="3:10" ht="20.25" customHeight="1">
      <c r="C510" s="207"/>
      <c r="D510" s="60">
        <v>502</v>
      </c>
      <c r="E510" s="136"/>
      <c r="F510" s="137"/>
      <c r="G510" s="137"/>
      <c r="H510" s="137"/>
      <c r="I510" s="137"/>
      <c r="J510" s="138"/>
    </row>
    <row r="511" spans="3:10" ht="20.25" customHeight="1">
      <c r="C511" s="207"/>
      <c r="D511" s="60">
        <v>503</v>
      </c>
      <c r="E511" s="136"/>
      <c r="F511" s="137"/>
      <c r="G511" s="137"/>
      <c r="H511" s="137"/>
      <c r="I511" s="137"/>
      <c r="J511" s="138"/>
    </row>
    <row r="512" spans="3:10" ht="20.25" customHeight="1">
      <c r="C512" s="207"/>
      <c r="D512" s="60">
        <v>504</v>
      </c>
      <c r="E512" s="136"/>
      <c r="F512" s="137"/>
      <c r="G512" s="137"/>
      <c r="H512" s="137"/>
      <c r="I512" s="137"/>
      <c r="J512" s="138"/>
    </row>
    <row r="513" spans="3:10" ht="20.25" customHeight="1">
      <c r="C513" s="207"/>
      <c r="D513" s="60">
        <v>505</v>
      </c>
      <c r="E513" s="136"/>
      <c r="F513" s="137"/>
      <c r="G513" s="137"/>
      <c r="H513" s="137"/>
      <c r="I513" s="137"/>
      <c r="J513" s="138"/>
    </row>
    <row r="514" spans="3:10" ht="20.25" customHeight="1">
      <c r="C514" s="207"/>
      <c r="D514" s="60">
        <v>506</v>
      </c>
      <c r="E514" s="136"/>
      <c r="F514" s="137"/>
      <c r="G514" s="137"/>
      <c r="H514" s="137"/>
      <c r="I514" s="137"/>
      <c r="J514" s="138"/>
    </row>
    <row r="515" spans="3:10" ht="20.25" customHeight="1">
      <c r="C515" s="207"/>
      <c r="D515" s="60">
        <v>507</v>
      </c>
      <c r="E515" s="136"/>
      <c r="F515" s="137"/>
      <c r="G515" s="137"/>
      <c r="H515" s="137"/>
      <c r="I515" s="137"/>
      <c r="J515" s="138"/>
    </row>
    <row r="516" spans="3:10" ht="20.25" customHeight="1">
      <c r="C516" s="207"/>
      <c r="D516" s="60">
        <v>508</v>
      </c>
      <c r="E516" s="136"/>
      <c r="F516" s="137"/>
      <c r="G516" s="137"/>
      <c r="H516" s="137"/>
      <c r="I516" s="137"/>
      <c r="J516" s="138"/>
    </row>
    <row r="517" spans="3:10" ht="20.25" customHeight="1">
      <c r="C517" s="207"/>
      <c r="D517" s="60">
        <v>509</v>
      </c>
      <c r="E517" s="136"/>
      <c r="F517" s="137"/>
      <c r="G517" s="137"/>
      <c r="H517" s="137"/>
      <c r="I517" s="137"/>
      <c r="J517" s="138"/>
    </row>
    <row r="518" spans="3:10" ht="20.25" customHeight="1">
      <c r="C518" s="207"/>
      <c r="D518" s="60">
        <v>510</v>
      </c>
      <c r="E518" s="136"/>
      <c r="F518" s="137"/>
      <c r="G518" s="137"/>
      <c r="H518" s="137"/>
      <c r="I518" s="137"/>
      <c r="J518" s="138"/>
    </row>
    <row r="519" spans="3:10" ht="20.25" customHeight="1">
      <c r="C519" s="207"/>
      <c r="D519" s="60">
        <v>511</v>
      </c>
      <c r="E519" s="136"/>
      <c r="F519" s="137"/>
      <c r="G519" s="137"/>
      <c r="H519" s="137"/>
      <c r="I519" s="137"/>
      <c r="J519" s="138"/>
    </row>
    <row r="520" spans="3:10" ht="20.25" customHeight="1">
      <c r="C520" s="207"/>
      <c r="D520" s="60">
        <v>512</v>
      </c>
      <c r="E520" s="136"/>
      <c r="F520" s="137"/>
      <c r="G520" s="137"/>
      <c r="H520" s="137"/>
      <c r="I520" s="137"/>
      <c r="J520" s="138"/>
    </row>
    <row r="521" spans="3:10" ht="20.25" customHeight="1">
      <c r="C521" s="207"/>
      <c r="D521" s="60">
        <v>513</v>
      </c>
      <c r="E521" s="136"/>
      <c r="F521" s="137"/>
      <c r="G521" s="137"/>
      <c r="H521" s="137"/>
      <c r="I521" s="137"/>
      <c r="J521" s="138"/>
    </row>
    <row r="522" spans="3:10" ht="20.25" customHeight="1">
      <c r="C522" s="207"/>
      <c r="D522" s="60">
        <v>514</v>
      </c>
      <c r="E522" s="136"/>
      <c r="F522" s="137"/>
      <c r="G522" s="137"/>
      <c r="H522" s="137"/>
      <c r="I522" s="137"/>
      <c r="J522" s="138"/>
    </row>
    <row r="523" spans="3:10" ht="20.25" customHeight="1">
      <c r="C523" s="207"/>
      <c r="D523" s="60">
        <v>515</v>
      </c>
      <c r="E523" s="136"/>
      <c r="F523" s="137"/>
      <c r="G523" s="137"/>
      <c r="H523" s="137"/>
      <c r="I523" s="137"/>
      <c r="J523" s="138"/>
    </row>
    <row r="524" spans="3:10" ht="20.25" customHeight="1">
      <c r="C524" s="207"/>
      <c r="D524" s="60">
        <v>516</v>
      </c>
      <c r="E524" s="136"/>
      <c r="F524" s="137"/>
      <c r="G524" s="137"/>
      <c r="H524" s="137"/>
      <c r="I524" s="137"/>
      <c r="J524" s="138"/>
    </row>
    <row r="525" spans="3:10" ht="20.25" customHeight="1">
      <c r="C525" s="207"/>
      <c r="D525" s="60">
        <v>517</v>
      </c>
      <c r="E525" s="136"/>
      <c r="F525" s="137"/>
      <c r="G525" s="137"/>
      <c r="H525" s="137"/>
      <c r="I525" s="137"/>
      <c r="J525" s="138"/>
    </row>
    <row r="526" spans="3:10" ht="20.25" customHeight="1">
      <c r="C526" s="207"/>
      <c r="D526" s="60">
        <v>518</v>
      </c>
      <c r="E526" s="136"/>
      <c r="F526" s="137"/>
      <c r="G526" s="137"/>
      <c r="H526" s="137"/>
      <c r="I526" s="137"/>
      <c r="J526" s="138"/>
    </row>
    <row r="527" spans="3:10" ht="20.25" customHeight="1">
      <c r="C527" s="207"/>
      <c r="D527" s="60">
        <v>519</v>
      </c>
      <c r="E527" s="136"/>
      <c r="F527" s="137"/>
      <c r="G527" s="137"/>
      <c r="H527" s="137"/>
      <c r="I527" s="137"/>
      <c r="J527" s="138"/>
    </row>
    <row r="528" spans="3:10" ht="20.25" customHeight="1">
      <c r="C528" s="207"/>
      <c r="D528" s="60">
        <v>520</v>
      </c>
      <c r="E528" s="136"/>
      <c r="F528" s="137"/>
      <c r="G528" s="137"/>
      <c r="H528" s="137"/>
      <c r="I528" s="137"/>
      <c r="J528" s="138"/>
    </row>
    <row r="529" spans="3:10" ht="20.25" customHeight="1">
      <c r="C529" s="207"/>
      <c r="D529" s="60">
        <v>521</v>
      </c>
      <c r="E529" s="136"/>
      <c r="F529" s="137"/>
      <c r="G529" s="137"/>
      <c r="H529" s="137"/>
      <c r="I529" s="137"/>
      <c r="J529" s="138"/>
    </row>
    <row r="530" spans="3:10" ht="20.25" customHeight="1">
      <c r="C530" s="207"/>
      <c r="D530" s="60">
        <v>522</v>
      </c>
      <c r="E530" s="136"/>
      <c r="F530" s="137"/>
      <c r="G530" s="137"/>
      <c r="H530" s="137"/>
      <c r="I530" s="137"/>
      <c r="J530" s="138"/>
    </row>
    <row r="531" spans="3:10" ht="20.25" customHeight="1">
      <c r="C531" s="207"/>
      <c r="D531" s="60">
        <v>523</v>
      </c>
      <c r="E531" s="136"/>
      <c r="F531" s="137"/>
      <c r="G531" s="137"/>
      <c r="H531" s="137"/>
      <c r="I531" s="137"/>
      <c r="J531" s="138"/>
    </row>
    <row r="532" spans="3:10" ht="20.25" customHeight="1">
      <c r="C532" s="207"/>
      <c r="D532" s="60">
        <v>524</v>
      </c>
      <c r="E532" s="136"/>
      <c r="F532" s="137"/>
      <c r="G532" s="137"/>
      <c r="H532" s="137"/>
      <c r="I532" s="137"/>
      <c r="J532" s="138"/>
    </row>
    <row r="533" spans="3:10" ht="20.25" customHeight="1">
      <c r="C533" s="207"/>
      <c r="D533" s="60">
        <v>525</v>
      </c>
      <c r="E533" s="136"/>
      <c r="F533" s="137"/>
      <c r="G533" s="137"/>
      <c r="H533" s="137"/>
      <c r="I533" s="137"/>
      <c r="J533" s="138"/>
    </row>
    <row r="534" spans="3:10" ht="20.25" customHeight="1">
      <c r="C534" s="207"/>
      <c r="D534" s="60">
        <v>526</v>
      </c>
      <c r="E534" s="136"/>
      <c r="F534" s="137"/>
      <c r="G534" s="137"/>
      <c r="H534" s="137"/>
      <c r="I534" s="137"/>
      <c r="J534" s="138"/>
    </row>
    <row r="535" spans="3:10" ht="20.25" customHeight="1">
      <c r="C535" s="207"/>
      <c r="D535" s="60">
        <v>527</v>
      </c>
      <c r="E535" s="136"/>
      <c r="F535" s="137"/>
      <c r="G535" s="137"/>
      <c r="H535" s="137"/>
      <c r="I535" s="137"/>
      <c r="J535" s="138"/>
    </row>
    <row r="536" spans="3:10" ht="20.25" customHeight="1">
      <c r="C536" s="207"/>
      <c r="D536" s="60">
        <v>528</v>
      </c>
      <c r="E536" s="136"/>
      <c r="F536" s="137"/>
      <c r="G536" s="137"/>
      <c r="H536" s="137"/>
      <c r="I536" s="137"/>
      <c r="J536" s="138"/>
    </row>
    <row r="537" spans="3:10" ht="20.25" customHeight="1">
      <c r="C537" s="207"/>
      <c r="D537" s="60">
        <v>529</v>
      </c>
      <c r="E537" s="136"/>
      <c r="F537" s="137"/>
      <c r="G537" s="137"/>
      <c r="H537" s="137"/>
      <c r="I537" s="137"/>
      <c r="J537" s="138"/>
    </row>
    <row r="538" spans="3:10" ht="20.25" customHeight="1">
      <c r="C538" s="207"/>
      <c r="D538" s="60">
        <v>530</v>
      </c>
      <c r="E538" s="136"/>
      <c r="F538" s="137"/>
      <c r="G538" s="137"/>
      <c r="H538" s="137"/>
      <c r="I538" s="137"/>
      <c r="J538" s="138"/>
    </row>
    <row r="539" spans="3:10" ht="20.25" customHeight="1">
      <c r="C539" s="207"/>
      <c r="D539" s="60">
        <v>531</v>
      </c>
      <c r="E539" s="136"/>
      <c r="F539" s="137"/>
      <c r="G539" s="137"/>
      <c r="H539" s="137"/>
      <c r="I539" s="137"/>
      <c r="J539" s="138"/>
    </row>
    <row r="540" spans="3:10" ht="20.25" customHeight="1">
      <c r="C540" s="207"/>
      <c r="D540" s="60">
        <v>532</v>
      </c>
      <c r="E540" s="136"/>
      <c r="F540" s="137"/>
      <c r="G540" s="137"/>
      <c r="H540" s="137"/>
      <c r="I540" s="137"/>
      <c r="J540" s="138"/>
    </row>
    <row r="541" spans="3:10" ht="20.25" customHeight="1">
      <c r="C541" s="207"/>
      <c r="D541" s="60">
        <v>533</v>
      </c>
      <c r="E541" s="136"/>
      <c r="F541" s="137"/>
      <c r="G541" s="137"/>
      <c r="H541" s="137"/>
      <c r="I541" s="137"/>
      <c r="J541" s="138"/>
    </row>
    <row r="542" spans="3:10" ht="20.25" customHeight="1">
      <c r="C542" s="207"/>
      <c r="D542" s="60">
        <v>534</v>
      </c>
      <c r="E542" s="136"/>
      <c r="F542" s="137"/>
      <c r="G542" s="137"/>
      <c r="H542" s="137"/>
      <c r="I542" s="137"/>
      <c r="J542" s="138"/>
    </row>
    <row r="543" spans="3:10" ht="20.25" customHeight="1">
      <c r="C543" s="207"/>
      <c r="D543" s="60">
        <v>535</v>
      </c>
      <c r="E543" s="136"/>
      <c r="F543" s="137"/>
      <c r="G543" s="137"/>
      <c r="H543" s="137"/>
      <c r="I543" s="137"/>
      <c r="J543" s="138"/>
    </row>
    <row r="544" spans="3:10" ht="20.25" customHeight="1">
      <c r="C544" s="207"/>
      <c r="D544" s="60">
        <v>536</v>
      </c>
      <c r="E544" s="136"/>
      <c r="F544" s="137"/>
      <c r="G544" s="137"/>
      <c r="H544" s="137"/>
      <c r="I544" s="137"/>
      <c r="J544" s="138"/>
    </row>
    <row r="545" spans="3:10" ht="20.25" customHeight="1">
      <c r="C545" s="207"/>
      <c r="D545" s="60">
        <v>537</v>
      </c>
      <c r="E545" s="136"/>
      <c r="F545" s="137"/>
      <c r="G545" s="137"/>
      <c r="H545" s="137"/>
      <c r="I545" s="137"/>
      <c r="J545" s="138"/>
    </row>
    <row r="546" spans="3:10" ht="20.25" customHeight="1">
      <c r="C546" s="207"/>
      <c r="D546" s="60">
        <v>538</v>
      </c>
      <c r="E546" s="136"/>
      <c r="F546" s="137"/>
      <c r="G546" s="137"/>
      <c r="H546" s="137"/>
      <c r="I546" s="137"/>
      <c r="J546" s="138"/>
    </row>
    <row r="547" spans="3:10" ht="20.25" customHeight="1">
      <c r="C547" s="207"/>
      <c r="D547" s="60">
        <v>539</v>
      </c>
      <c r="E547" s="136"/>
      <c r="F547" s="137"/>
      <c r="G547" s="137"/>
      <c r="H547" s="137"/>
      <c r="I547" s="137"/>
      <c r="J547" s="138"/>
    </row>
    <row r="548" spans="3:10" ht="20.25" customHeight="1">
      <c r="C548" s="207"/>
      <c r="D548" s="60">
        <v>540</v>
      </c>
      <c r="E548" s="136"/>
      <c r="F548" s="137"/>
      <c r="G548" s="137"/>
      <c r="H548" s="137"/>
      <c r="I548" s="137"/>
      <c r="J548" s="138"/>
    </row>
    <row r="549" spans="3:10" ht="20.25" customHeight="1">
      <c r="C549" s="207"/>
      <c r="D549" s="60">
        <v>541</v>
      </c>
      <c r="E549" s="136"/>
      <c r="F549" s="137"/>
      <c r="G549" s="137"/>
      <c r="H549" s="137"/>
      <c r="I549" s="137"/>
      <c r="J549" s="138"/>
    </row>
    <row r="550" spans="3:10" ht="20.25" customHeight="1">
      <c r="C550" s="207"/>
      <c r="D550" s="60">
        <v>542</v>
      </c>
      <c r="E550" s="136"/>
      <c r="F550" s="137"/>
      <c r="G550" s="137"/>
      <c r="H550" s="137"/>
      <c r="I550" s="137"/>
      <c r="J550" s="138"/>
    </row>
    <row r="551" spans="3:10" ht="20.25" customHeight="1">
      <c r="C551" s="207"/>
      <c r="D551" s="60">
        <v>543</v>
      </c>
      <c r="E551" s="136"/>
      <c r="F551" s="137"/>
      <c r="G551" s="137"/>
      <c r="H551" s="137"/>
      <c r="I551" s="137"/>
      <c r="J551" s="138"/>
    </row>
    <row r="552" spans="3:10" ht="20.25" customHeight="1">
      <c r="C552" s="207"/>
      <c r="D552" s="60">
        <v>544</v>
      </c>
      <c r="E552" s="136"/>
      <c r="F552" s="137"/>
      <c r="G552" s="137"/>
      <c r="H552" s="137"/>
      <c r="I552" s="137"/>
      <c r="J552" s="138"/>
    </row>
    <row r="553" spans="3:10" ht="20.25" customHeight="1">
      <c r="C553" s="207"/>
      <c r="D553" s="60">
        <v>545</v>
      </c>
      <c r="E553" s="136"/>
      <c r="F553" s="137"/>
      <c r="G553" s="137"/>
      <c r="H553" s="137"/>
      <c r="I553" s="137"/>
      <c r="J553" s="138"/>
    </row>
    <row r="554" spans="3:10" ht="20.25" customHeight="1">
      <c r="C554" s="207"/>
      <c r="D554" s="60">
        <v>546</v>
      </c>
      <c r="E554" s="136"/>
      <c r="F554" s="137"/>
      <c r="G554" s="137"/>
      <c r="H554" s="137"/>
      <c r="I554" s="137"/>
      <c r="J554" s="138"/>
    </row>
    <row r="555" spans="3:10" ht="20.25" customHeight="1">
      <c r="C555" s="207"/>
      <c r="D555" s="60">
        <v>547</v>
      </c>
      <c r="E555" s="136"/>
      <c r="F555" s="137"/>
      <c r="G555" s="137"/>
      <c r="H555" s="137"/>
      <c r="I555" s="137"/>
      <c r="J555" s="138"/>
    </row>
    <row r="556" spans="3:10" ht="20.25" customHeight="1">
      <c r="C556" s="207"/>
      <c r="D556" s="60">
        <v>548</v>
      </c>
      <c r="E556" s="136"/>
      <c r="F556" s="137"/>
      <c r="G556" s="137"/>
      <c r="H556" s="137"/>
      <c r="I556" s="137"/>
      <c r="J556" s="138"/>
    </row>
    <row r="557" spans="3:10" ht="20.25" customHeight="1">
      <c r="C557" s="207"/>
      <c r="D557" s="60">
        <v>549</v>
      </c>
      <c r="E557" s="136"/>
      <c r="F557" s="137"/>
      <c r="G557" s="137"/>
      <c r="H557" s="137"/>
      <c r="I557" s="137"/>
      <c r="J557" s="138"/>
    </row>
    <row r="558" spans="3:10" ht="20.25" customHeight="1">
      <c r="C558" s="207"/>
      <c r="D558" s="60">
        <v>550</v>
      </c>
      <c r="E558" s="136"/>
      <c r="F558" s="137"/>
      <c r="G558" s="137"/>
      <c r="H558" s="137"/>
      <c r="I558" s="137"/>
      <c r="J558" s="138"/>
    </row>
    <row r="559" spans="3:10" ht="20.25" customHeight="1">
      <c r="C559" s="207"/>
      <c r="D559" s="60">
        <v>551</v>
      </c>
      <c r="E559" s="136"/>
      <c r="F559" s="137"/>
      <c r="G559" s="137"/>
      <c r="H559" s="137"/>
      <c r="I559" s="137"/>
      <c r="J559" s="138"/>
    </row>
    <row r="560" spans="3:10" ht="20.25" customHeight="1">
      <c r="C560" s="207"/>
      <c r="D560" s="60">
        <v>552</v>
      </c>
      <c r="E560" s="136"/>
      <c r="F560" s="137"/>
      <c r="G560" s="137"/>
      <c r="H560" s="137"/>
      <c r="I560" s="137"/>
      <c r="J560" s="138"/>
    </row>
    <row r="561" spans="3:10" ht="20.25" customHeight="1">
      <c r="C561" s="207"/>
      <c r="D561" s="60">
        <v>553</v>
      </c>
      <c r="E561" s="136"/>
      <c r="F561" s="137"/>
      <c r="G561" s="137"/>
      <c r="H561" s="137"/>
      <c r="I561" s="137"/>
      <c r="J561" s="138"/>
    </row>
    <row r="562" spans="3:10" ht="20.25" customHeight="1">
      <c r="C562" s="207"/>
      <c r="D562" s="60">
        <v>554</v>
      </c>
      <c r="E562" s="136"/>
      <c r="F562" s="137"/>
      <c r="G562" s="137"/>
      <c r="H562" s="137"/>
      <c r="I562" s="137"/>
      <c r="J562" s="138"/>
    </row>
    <row r="563" spans="3:10" ht="20.25" customHeight="1">
      <c r="C563" s="207"/>
      <c r="D563" s="60">
        <v>555</v>
      </c>
      <c r="E563" s="136"/>
      <c r="F563" s="137"/>
      <c r="G563" s="137"/>
      <c r="H563" s="137"/>
      <c r="I563" s="137"/>
      <c r="J563" s="138"/>
    </row>
    <row r="564" spans="3:10" ht="20.25" customHeight="1">
      <c r="C564" s="207"/>
      <c r="D564" s="60">
        <v>556</v>
      </c>
      <c r="E564" s="136"/>
      <c r="F564" s="137"/>
      <c r="G564" s="137"/>
      <c r="H564" s="137"/>
      <c r="I564" s="137"/>
      <c r="J564" s="138"/>
    </row>
    <row r="565" spans="3:10" ht="20.25" customHeight="1">
      <c r="C565" s="207"/>
      <c r="D565" s="60">
        <v>557</v>
      </c>
      <c r="E565" s="136"/>
      <c r="F565" s="137"/>
      <c r="G565" s="137"/>
      <c r="H565" s="137"/>
      <c r="I565" s="137"/>
      <c r="J565" s="138"/>
    </row>
    <row r="566" spans="3:10" ht="20.25" customHeight="1">
      <c r="C566" s="207"/>
      <c r="D566" s="60">
        <v>558</v>
      </c>
      <c r="E566" s="136"/>
      <c r="F566" s="137"/>
      <c r="G566" s="137"/>
      <c r="H566" s="137"/>
      <c r="I566" s="137"/>
      <c r="J566" s="138"/>
    </row>
    <row r="567" spans="3:10" ht="20.25" customHeight="1">
      <c r="C567" s="207"/>
      <c r="D567" s="60">
        <v>559</v>
      </c>
      <c r="E567" s="136"/>
      <c r="F567" s="137"/>
      <c r="G567" s="137"/>
      <c r="H567" s="137"/>
      <c r="I567" s="137"/>
      <c r="J567" s="138"/>
    </row>
    <row r="568" spans="3:10" ht="20.25" customHeight="1">
      <c r="C568" s="207"/>
      <c r="D568" s="60">
        <v>560</v>
      </c>
      <c r="E568" s="136"/>
      <c r="F568" s="137"/>
      <c r="G568" s="137"/>
      <c r="H568" s="137"/>
      <c r="I568" s="137"/>
      <c r="J568" s="138"/>
    </row>
    <row r="569" spans="3:10" ht="20.25" customHeight="1">
      <c r="C569" s="207"/>
      <c r="D569" s="60">
        <v>561</v>
      </c>
      <c r="E569" s="136"/>
      <c r="F569" s="137"/>
      <c r="G569" s="137"/>
      <c r="H569" s="137"/>
      <c r="I569" s="137"/>
      <c r="J569" s="138"/>
    </row>
    <row r="570" spans="3:10" ht="20.25" customHeight="1">
      <c r="C570" s="207"/>
      <c r="D570" s="60">
        <v>562</v>
      </c>
      <c r="E570" s="136"/>
      <c r="F570" s="137"/>
      <c r="G570" s="137"/>
      <c r="H570" s="137"/>
      <c r="I570" s="137"/>
      <c r="J570" s="138"/>
    </row>
    <row r="571" spans="3:10" ht="20.25" customHeight="1">
      <c r="C571" s="207"/>
      <c r="D571" s="60">
        <v>563</v>
      </c>
      <c r="E571" s="136"/>
      <c r="F571" s="137"/>
      <c r="G571" s="137"/>
      <c r="H571" s="137"/>
      <c r="I571" s="137"/>
      <c r="J571" s="138"/>
    </row>
    <row r="572" spans="3:10" ht="20.25" customHeight="1">
      <c r="C572" s="207"/>
      <c r="D572" s="60">
        <v>564</v>
      </c>
      <c r="E572" s="136"/>
      <c r="F572" s="137"/>
      <c r="G572" s="137"/>
      <c r="H572" s="137"/>
      <c r="I572" s="137"/>
      <c r="J572" s="138"/>
    </row>
    <row r="573" spans="3:10" ht="20.25" customHeight="1">
      <c r="C573" s="207"/>
      <c r="D573" s="60">
        <v>565</v>
      </c>
      <c r="E573" s="136"/>
      <c r="F573" s="137"/>
      <c r="G573" s="137"/>
      <c r="H573" s="137"/>
      <c r="I573" s="137"/>
      <c r="J573" s="138"/>
    </row>
    <row r="574" spans="3:10" ht="20.25" customHeight="1">
      <c r="C574" s="207"/>
      <c r="D574" s="60">
        <v>566</v>
      </c>
      <c r="E574" s="136"/>
      <c r="F574" s="137"/>
      <c r="G574" s="137"/>
      <c r="H574" s="137"/>
      <c r="I574" s="137"/>
      <c r="J574" s="138"/>
    </row>
    <row r="575" spans="3:10" ht="20.25" customHeight="1">
      <c r="C575" s="207"/>
      <c r="D575" s="60">
        <v>567</v>
      </c>
      <c r="E575" s="136"/>
      <c r="F575" s="137"/>
      <c r="G575" s="137"/>
      <c r="H575" s="137"/>
      <c r="I575" s="137"/>
      <c r="J575" s="138"/>
    </row>
    <row r="576" spans="3:10" ht="20.25" customHeight="1">
      <c r="C576" s="207"/>
      <c r="D576" s="60">
        <v>568</v>
      </c>
      <c r="E576" s="136"/>
      <c r="F576" s="137"/>
      <c r="G576" s="137"/>
      <c r="H576" s="137"/>
      <c r="I576" s="137"/>
      <c r="J576" s="138"/>
    </row>
    <row r="577" spans="3:10" ht="20.25" customHeight="1">
      <c r="C577" s="207"/>
      <c r="D577" s="60">
        <v>569</v>
      </c>
      <c r="E577" s="136"/>
      <c r="F577" s="137"/>
      <c r="G577" s="137"/>
      <c r="H577" s="137"/>
      <c r="I577" s="137"/>
      <c r="J577" s="138"/>
    </row>
    <row r="578" spans="3:10" ht="20.25" customHeight="1">
      <c r="C578" s="207"/>
      <c r="D578" s="60">
        <v>570</v>
      </c>
      <c r="E578" s="136"/>
      <c r="F578" s="137"/>
      <c r="G578" s="137"/>
      <c r="H578" s="137"/>
      <c r="I578" s="137"/>
      <c r="J578" s="138"/>
    </row>
    <row r="579" spans="3:10" ht="20.25" customHeight="1">
      <c r="C579" s="207"/>
      <c r="D579" s="60">
        <v>571</v>
      </c>
      <c r="E579" s="136"/>
      <c r="F579" s="137"/>
      <c r="G579" s="137"/>
      <c r="H579" s="137"/>
      <c r="I579" s="137"/>
      <c r="J579" s="138"/>
    </row>
    <row r="580" spans="3:10" ht="20.25" customHeight="1">
      <c r="C580" s="207"/>
      <c r="D580" s="60">
        <v>572</v>
      </c>
      <c r="E580" s="136"/>
      <c r="F580" s="137"/>
      <c r="G580" s="137"/>
      <c r="H580" s="137"/>
      <c r="I580" s="137"/>
      <c r="J580" s="138"/>
    </row>
    <row r="581" spans="3:10" ht="20.25" customHeight="1">
      <c r="C581" s="207"/>
      <c r="D581" s="60">
        <v>573</v>
      </c>
      <c r="E581" s="136"/>
      <c r="F581" s="137"/>
      <c r="G581" s="137"/>
      <c r="H581" s="137"/>
      <c r="I581" s="137"/>
      <c r="J581" s="138"/>
    </row>
    <row r="582" spans="3:10" ht="20.25" customHeight="1">
      <c r="C582" s="207"/>
      <c r="D582" s="60">
        <v>574</v>
      </c>
      <c r="E582" s="136"/>
      <c r="F582" s="137"/>
      <c r="G582" s="137"/>
      <c r="H582" s="137"/>
      <c r="I582" s="137"/>
      <c r="J582" s="138"/>
    </row>
    <row r="583" spans="3:10" ht="20.25" customHeight="1">
      <c r="C583" s="207"/>
      <c r="D583" s="60">
        <v>575</v>
      </c>
      <c r="E583" s="136"/>
      <c r="F583" s="137"/>
      <c r="G583" s="137"/>
      <c r="H583" s="137"/>
      <c r="I583" s="137"/>
      <c r="J583" s="138"/>
    </row>
    <row r="584" spans="3:10" ht="20.25" customHeight="1">
      <c r="C584" s="207"/>
      <c r="D584" s="60">
        <v>576</v>
      </c>
      <c r="E584" s="136"/>
      <c r="F584" s="137"/>
      <c r="G584" s="137"/>
      <c r="H584" s="137"/>
      <c r="I584" s="137"/>
      <c r="J584" s="138"/>
    </row>
    <row r="585" spans="3:10" ht="20.25" customHeight="1">
      <c r="C585" s="207"/>
      <c r="D585" s="60">
        <v>577</v>
      </c>
      <c r="E585" s="136"/>
      <c r="F585" s="137"/>
      <c r="G585" s="137"/>
      <c r="H585" s="137"/>
      <c r="I585" s="137"/>
      <c r="J585" s="138"/>
    </row>
    <row r="586" spans="3:10" ht="20.25" customHeight="1">
      <c r="C586" s="207"/>
      <c r="D586" s="60">
        <v>578</v>
      </c>
      <c r="E586" s="136"/>
      <c r="F586" s="137"/>
      <c r="G586" s="137"/>
      <c r="H586" s="137"/>
      <c r="I586" s="137"/>
      <c r="J586" s="138"/>
    </row>
    <row r="587" spans="3:10" ht="20.25" customHeight="1">
      <c r="C587" s="207"/>
      <c r="D587" s="60">
        <v>579</v>
      </c>
      <c r="E587" s="136"/>
      <c r="F587" s="137"/>
      <c r="G587" s="137"/>
      <c r="H587" s="137"/>
      <c r="I587" s="137"/>
      <c r="J587" s="138"/>
    </row>
    <row r="588" spans="3:10" ht="20.25" customHeight="1">
      <c r="C588" s="207"/>
      <c r="D588" s="60">
        <v>580</v>
      </c>
      <c r="E588" s="136"/>
      <c r="F588" s="137"/>
      <c r="G588" s="137"/>
      <c r="H588" s="137"/>
      <c r="I588" s="137"/>
      <c r="J588" s="138"/>
    </row>
    <row r="589" spans="3:10" ht="20.25" customHeight="1">
      <c r="C589" s="207"/>
      <c r="D589" s="60">
        <v>581</v>
      </c>
      <c r="E589" s="136"/>
      <c r="F589" s="137"/>
      <c r="G589" s="137"/>
      <c r="H589" s="137"/>
      <c r="I589" s="137"/>
      <c r="J589" s="138"/>
    </row>
    <row r="590" spans="3:10" ht="20.25" customHeight="1">
      <c r="C590" s="207"/>
      <c r="D590" s="60">
        <v>582</v>
      </c>
      <c r="E590" s="136"/>
      <c r="F590" s="137"/>
      <c r="G590" s="137"/>
      <c r="H590" s="137"/>
      <c r="I590" s="137"/>
      <c r="J590" s="138"/>
    </row>
    <row r="591" spans="3:10" ht="20.25" customHeight="1">
      <c r="C591" s="207"/>
      <c r="D591" s="60">
        <v>583</v>
      </c>
      <c r="E591" s="136"/>
      <c r="F591" s="137"/>
      <c r="G591" s="137"/>
      <c r="H591" s="137"/>
      <c r="I591" s="137"/>
      <c r="J591" s="138"/>
    </row>
    <row r="592" spans="3:10" ht="20.25" customHeight="1">
      <c r="C592" s="207"/>
      <c r="D592" s="60">
        <v>584</v>
      </c>
      <c r="E592" s="136"/>
      <c r="F592" s="137"/>
      <c r="G592" s="137"/>
      <c r="H592" s="137"/>
      <c r="I592" s="137"/>
      <c r="J592" s="138"/>
    </row>
    <row r="593" spans="3:10" ht="20.25" customHeight="1">
      <c r="C593" s="207"/>
      <c r="D593" s="60">
        <v>585</v>
      </c>
      <c r="E593" s="136"/>
      <c r="F593" s="137"/>
      <c r="G593" s="137"/>
      <c r="H593" s="137"/>
      <c r="I593" s="137"/>
      <c r="J593" s="138"/>
    </row>
    <row r="594" spans="3:10" ht="20.25" customHeight="1">
      <c r="C594" s="207"/>
      <c r="D594" s="60">
        <v>586</v>
      </c>
      <c r="E594" s="136"/>
      <c r="F594" s="137"/>
      <c r="G594" s="137"/>
      <c r="H594" s="137"/>
      <c r="I594" s="137"/>
      <c r="J594" s="138"/>
    </row>
    <row r="595" spans="3:10" ht="20.25" customHeight="1">
      <c r="C595" s="207"/>
      <c r="D595" s="60">
        <v>587</v>
      </c>
      <c r="E595" s="136"/>
      <c r="F595" s="137"/>
      <c r="G595" s="137"/>
      <c r="H595" s="137"/>
      <c r="I595" s="137"/>
      <c r="J595" s="138"/>
    </row>
    <row r="596" spans="3:10" ht="20.25" customHeight="1">
      <c r="C596" s="207"/>
      <c r="D596" s="60">
        <v>588</v>
      </c>
      <c r="E596" s="136"/>
      <c r="F596" s="137"/>
      <c r="G596" s="137"/>
      <c r="H596" s="137"/>
      <c r="I596" s="137"/>
      <c r="J596" s="138"/>
    </row>
    <row r="597" spans="3:10" ht="20.25" customHeight="1">
      <c r="C597" s="207"/>
      <c r="D597" s="60">
        <v>589</v>
      </c>
      <c r="E597" s="136"/>
      <c r="F597" s="137"/>
      <c r="G597" s="137"/>
      <c r="H597" s="137"/>
      <c r="I597" s="137"/>
      <c r="J597" s="138"/>
    </row>
    <row r="598" spans="3:10" ht="20.25" customHeight="1">
      <c r="C598" s="207"/>
      <c r="D598" s="60">
        <v>590</v>
      </c>
      <c r="E598" s="136"/>
      <c r="F598" s="137"/>
      <c r="G598" s="137"/>
      <c r="H598" s="137"/>
      <c r="I598" s="137"/>
      <c r="J598" s="138"/>
    </row>
    <row r="599" spans="3:10" ht="20.25" customHeight="1">
      <c r="C599" s="207"/>
      <c r="D599" s="60">
        <v>591</v>
      </c>
      <c r="E599" s="136"/>
      <c r="F599" s="137"/>
      <c r="G599" s="137"/>
      <c r="H599" s="137"/>
      <c r="I599" s="137"/>
      <c r="J599" s="138"/>
    </row>
    <row r="600" spans="3:10" ht="20.25" customHeight="1">
      <c r="C600" s="207"/>
      <c r="D600" s="60">
        <v>592</v>
      </c>
      <c r="E600" s="136"/>
      <c r="F600" s="137"/>
      <c r="G600" s="137"/>
      <c r="H600" s="137"/>
      <c r="I600" s="137"/>
      <c r="J600" s="138"/>
    </row>
    <row r="601" spans="3:10" ht="20.25" customHeight="1">
      <c r="C601" s="207"/>
      <c r="D601" s="60">
        <v>593</v>
      </c>
      <c r="E601" s="136"/>
      <c r="F601" s="137"/>
      <c r="G601" s="137"/>
      <c r="H601" s="137"/>
      <c r="I601" s="137"/>
      <c r="J601" s="138"/>
    </row>
    <row r="602" spans="3:10" ht="20.25" customHeight="1">
      <c r="C602" s="207"/>
      <c r="D602" s="60">
        <v>594</v>
      </c>
      <c r="E602" s="136"/>
      <c r="F602" s="137"/>
      <c r="G602" s="137"/>
      <c r="H602" s="137"/>
      <c r="I602" s="137"/>
      <c r="J602" s="138"/>
    </row>
    <row r="603" spans="3:10" ht="20.25" customHeight="1">
      <c r="C603" s="207"/>
      <c r="D603" s="60">
        <v>595</v>
      </c>
      <c r="E603" s="136"/>
      <c r="F603" s="137"/>
      <c r="G603" s="137"/>
      <c r="H603" s="137"/>
      <c r="I603" s="137"/>
      <c r="J603" s="138"/>
    </row>
    <row r="604" spans="3:10" ht="20.25" customHeight="1">
      <c r="C604" s="207"/>
      <c r="D604" s="60">
        <v>596</v>
      </c>
      <c r="E604" s="136"/>
      <c r="F604" s="137"/>
      <c r="G604" s="137"/>
      <c r="H604" s="137"/>
      <c r="I604" s="137"/>
      <c r="J604" s="138"/>
    </row>
    <row r="605" spans="3:10" ht="20.25" customHeight="1">
      <c r="C605" s="207"/>
      <c r="D605" s="60">
        <v>597</v>
      </c>
      <c r="E605" s="136"/>
      <c r="F605" s="137"/>
      <c r="G605" s="137"/>
      <c r="H605" s="137"/>
      <c r="I605" s="137"/>
      <c r="J605" s="138"/>
    </row>
    <row r="606" spans="3:10" ht="20.25" customHeight="1">
      <c r="C606" s="207"/>
      <c r="D606" s="60">
        <v>598</v>
      </c>
      <c r="E606" s="136"/>
      <c r="F606" s="137"/>
      <c r="G606" s="137"/>
      <c r="H606" s="137"/>
      <c r="I606" s="137"/>
      <c r="J606" s="138"/>
    </row>
    <row r="607" spans="3:10" ht="20.25" customHeight="1">
      <c r="C607" s="207"/>
      <c r="D607" s="60">
        <v>599</v>
      </c>
      <c r="E607" s="136"/>
      <c r="F607" s="137"/>
      <c r="G607" s="137"/>
      <c r="H607" s="137"/>
      <c r="I607" s="137"/>
      <c r="J607" s="138"/>
    </row>
    <row r="608" spans="3:10" ht="20.25" customHeight="1">
      <c r="C608" s="207"/>
      <c r="D608" s="60">
        <v>600</v>
      </c>
      <c r="E608" s="136"/>
      <c r="F608" s="137"/>
      <c r="G608" s="137"/>
      <c r="H608" s="137"/>
      <c r="I608" s="137"/>
      <c r="J608" s="138"/>
    </row>
    <row r="609" spans="3:10" ht="20.25" customHeight="1">
      <c r="C609" s="207"/>
      <c r="D609" s="60">
        <v>601</v>
      </c>
      <c r="E609" s="136"/>
      <c r="F609" s="137"/>
      <c r="G609" s="137"/>
      <c r="H609" s="137"/>
      <c r="I609" s="137"/>
      <c r="J609" s="138"/>
    </row>
    <row r="610" spans="3:10" ht="20.25" customHeight="1">
      <c r="C610" s="207"/>
      <c r="D610" s="60">
        <v>602</v>
      </c>
      <c r="E610" s="136"/>
      <c r="F610" s="137"/>
      <c r="G610" s="137"/>
      <c r="H610" s="137"/>
      <c r="I610" s="137"/>
      <c r="J610" s="138"/>
    </row>
    <row r="611" spans="3:10" ht="20.25" customHeight="1">
      <c r="C611" s="207"/>
      <c r="D611" s="60">
        <v>603</v>
      </c>
      <c r="E611" s="136"/>
      <c r="F611" s="137"/>
      <c r="G611" s="137"/>
      <c r="H611" s="137"/>
      <c r="I611" s="137"/>
      <c r="J611" s="138"/>
    </row>
    <row r="612" spans="3:10" ht="20.25" customHeight="1">
      <c r="C612" s="207"/>
      <c r="D612" s="60">
        <v>604</v>
      </c>
      <c r="E612" s="136"/>
      <c r="F612" s="137"/>
      <c r="G612" s="137"/>
      <c r="H612" s="137"/>
      <c r="I612" s="137"/>
      <c r="J612" s="138"/>
    </row>
    <row r="613" spans="3:10" ht="20.25" customHeight="1">
      <c r="C613" s="207"/>
      <c r="D613" s="60">
        <v>605</v>
      </c>
      <c r="E613" s="136"/>
      <c r="F613" s="137"/>
      <c r="G613" s="137"/>
      <c r="H613" s="137"/>
      <c r="I613" s="137"/>
      <c r="J613" s="138"/>
    </row>
    <row r="614" spans="3:10" ht="20.25" customHeight="1">
      <c r="C614" s="207"/>
      <c r="D614" s="60">
        <v>606</v>
      </c>
      <c r="E614" s="136"/>
      <c r="F614" s="137"/>
      <c r="G614" s="137"/>
      <c r="H614" s="137"/>
      <c r="I614" s="137"/>
      <c r="J614" s="138"/>
    </row>
    <row r="615" spans="3:10" ht="20.25" customHeight="1">
      <c r="C615" s="207"/>
      <c r="D615" s="60">
        <v>607</v>
      </c>
      <c r="E615" s="136"/>
      <c r="F615" s="137"/>
      <c r="G615" s="137"/>
      <c r="H615" s="137"/>
      <c r="I615" s="137"/>
      <c r="J615" s="138"/>
    </row>
    <row r="616" spans="3:10" ht="20.25" customHeight="1">
      <c r="C616" s="207"/>
      <c r="D616" s="60">
        <v>608</v>
      </c>
      <c r="E616" s="136"/>
      <c r="F616" s="137"/>
      <c r="G616" s="137"/>
      <c r="H616" s="137"/>
      <c r="I616" s="137"/>
      <c r="J616" s="138"/>
    </row>
    <row r="617" spans="3:10" ht="20.25" customHeight="1">
      <c r="C617" s="207"/>
      <c r="D617" s="60">
        <v>609</v>
      </c>
      <c r="E617" s="136"/>
      <c r="F617" s="137"/>
      <c r="G617" s="137"/>
      <c r="H617" s="137"/>
      <c r="I617" s="137"/>
      <c r="J617" s="138"/>
    </row>
    <row r="618" spans="3:10" ht="20.25" customHeight="1">
      <c r="C618" s="207"/>
      <c r="D618" s="60">
        <v>610</v>
      </c>
      <c r="E618" s="136"/>
      <c r="F618" s="137"/>
      <c r="G618" s="137"/>
      <c r="H618" s="137"/>
      <c r="I618" s="137"/>
      <c r="J618" s="138"/>
    </row>
    <row r="619" spans="3:10" ht="20.25" customHeight="1">
      <c r="C619" s="207"/>
      <c r="D619" s="60">
        <v>611</v>
      </c>
      <c r="E619" s="136"/>
      <c r="F619" s="137"/>
      <c r="G619" s="137"/>
      <c r="H619" s="137"/>
      <c r="I619" s="137"/>
      <c r="J619" s="138"/>
    </row>
    <row r="620" spans="3:10" ht="20.25" customHeight="1">
      <c r="C620" s="207"/>
      <c r="D620" s="60">
        <v>612</v>
      </c>
      <c r="E620" s="136"/>
      <c r="F620" s="137"/>
      <c r="G620" s="137"/>
      <c r="H620" s="137"/>
      <c r="I620" s="137"/>
      <c r="J620" s="138"/>
    </row>
    <row r="621" spans="3:10" ht="20.25" customHeight="1">
      <c r="C621" s="207"/>
      <c r="D621" s="60">
        <v>613</v>
      </c>
      <c r="E621" s="136"/>
      <c r="F621" s="137"/>
      <c r="G621" s="137"/>
      <c r="H621" s="137"/>
      <c r="I621" s="137"/>
      <c r="J621" s="138"/>
    </row>
    <row r="622" spans="3:10" ht="20.25" customHeight="1">
      <c r="C622" s="207"/>
      <c r="D622" s="60">
        <v>614</v>
      </c>
      <c r="E622" s="136"/>
      <c r="F622" s="137"/>
      <c r="G622" s="137"/>
      <c r="H622" s="137"/>
      <c r="I622" s="137"/>
      <c r="J622" s="138"/>
    </row>
    <row r="623" spans="3:10" ht="20.25" customHeight="1">
      <c r="C623" s="207"/>
      <c r="D623" s="60">
        <v>615</v>
      </c>
      <c r="E623" s="136"/>
      <c r="F623" s="137"/>
      <c r="G623" s="137"/>
      <c r="H623" s="137"/>
      <c r="I623" s="137"/>
      <c r="J623" s="138"/>
    </row>
    <row r="624" spans="3:10" ht="20.25" customHeight="1">
      <c r="C624" s="207"/>
      <c r="D624" s="60">
        <v>616</v>
      </c>
      <c r="E624" s="136"/>
      <c r="F624" s="137"/>
      <c r="G624" s="137"/>
      <c r="H624" s="137"/>
      <c r="I624" s="137"/>
      <c r="J624" s="138"/>
    </row>
    <row r="625" spans="3:10" ht="20.25" customHeight="1">
      <c r="C625" s="207"/>
      <c r="D625" s="60">
        <v>617</v>
      </c>
      <c r="E625" s="136"/>
      <c r="F625" s="137"/>
      <c r="G625" s="137"/>
      <c r="H625" s="137"/>
      <c r="I625" s="137"/>
      <c r="J625" s="138"/>
    </row>
    <row r="626" spans="3:10" ht="20.25" customHeight="1">
      <c r="C626" s="207"/>
      <c r="D626" s="60">
        <v>618</v>
      </c>
      <c r="E626" s="136"/>
      <c r="F626" s="137"/>
      <c r="G626" s="137"/>
      <c r="H626" s="137"/>
      <c r="I626" s="137"/>
      <c r="J626" s="138"/>
    </row>
    <row r="627" spans="3:10" ht="20.25" customHeight="1">
      <c r="C627" s="207"/>
      <c r="D627" s="60">
        <v>619</v>
      </c>
      <c r="E627" s="136"/>
      <c r="F627" s="137"/>
      <c r="G627" s="137"/>
      <c r="H627" s="137"/>
      <c r="I627" s="137"/>
      <c r="J627" s="138"/>
    </row>
    <row r="628" spans="3:10" ht="20.25" customHeight="1">
      <c r="C628" s="207"/>
      <c r="D628" s="60">
        <v>620</v>
      </c>
      <c r="E628" s="136"/>
      <c r="F628" s="137"/>
      <c r="G628" s="137"/>
      <c r="H628" s="137"/>
      <c r="I628" s="137"/>
      <c r="J628" s="138"/>
    </row>
    <row r="629" spans="3:10" ht="20.25" customHeight="1">
      <c r="C629" s="207"/>
      <c r="D629" s="60">
        <v>621</v>
      </c>
      <c r="E629" s="136"/>
      <c r="F629" s="137"/>
      <c r="G629" s="137"/>
      <c r="H629" s="137"/>
      <c r="I629" s="137"/>
      <c r="J629" s="138"/>
    </row>
    <row r="630" spans="3:10" ht="20.25" customHeight="1">
      <c r="C630" s="207"/>
      <c r="D630" s="60">
        <v>622</v>
      </c>
      <c r="E630" s="136"/>
      <c r="F630" s="137"/>
      <c r="G630" s="137"/>
      <c r="H630" s="137"/>
      <c r="I630" s="137"/>
      <c r="J630" s="138"/>
    </row>
    <row r="631" spans="3:10" ht="20.25" customHeight="1">
      <c r="C631" s="207"/>
      <c r="D631" s="60">
        <v>623</v>
      </c>
      <c r="E631" s="136"/>
      <c r="F631" s="137"/>
      <c r="G631" s="137"/>
      <c r="H631" s="137"/>
      <c r="I631" s="137"/>
      <c r="J631" s="138"/>
    </row>
    <row r="632" spans="3:10" ht="20.25" customHeight="1">
      <c r="C632" s="207"/>
      <c r="D632" s="60">
        <v>624</v>
      </c>
      <c r="E632" s="136"/>
      <c r="F632" s="137"/>
      <c r="G632" s="137"/>
      <c r="H632" s="137"/>
      <c r="I632" s="137"/>
      <c r="J632" s="138"/>
    </row>
    <row r="633" spans="3:10" ht="20.25" customHeight="1">
      <c r="C633" s="207"/>
      <c r="D633" s="60">
        <v>625</v>
      </c>
      <c r="E633" s="136"/>
      <c r="F633" s="137"/>
      <c r="G633" s="137"/>
      <c r="H633" s="137"/>
      <c r="I633" s="137"/>
      <c r="J633" s="138"/>
    </row>
    <row r="634" spans="3:10" ht="20.25" customHeight="1">
      <c r="C634" s="207"/>
      <c r="D634" s="60">
        <v>626</v>
      </c>
      <c r="E634" s="136"/>
      <c r="F634" s="137"/>
      <c r="G634" s="137"/>
      <c r="H634" s="137"/>
      <c r="I634" s="137"/>
      <c r="J634" s="138"/>
    </row>
    <row r="635" spans="3:10" ht="20.25" customHeight="1">
      <c r="C635" s="207"/>
      <c r="D635" s="60">
        <v>627</v>
      </c>
      <c r="E635" s="136"/>
      <c r="F635" s="137"/>
      <c r="G635" s="137"/>
      <c r="H635" s="137"/>
      <c r="I635" s="137"/>
      <c r="J635" s="138"/>
    </row>
    <row r="636" spans="3:10" ht="20.25" customHeight="1">
      <c r="C636" s="207"/>
      <c r="D636" s="60">
        <v>628</v>
      </c>
      <c r="E636" s="136"/>
      <c r="F636" s="137"/>
      <c r="G636" s="137"/>
      <c r="H636" s="137"/>
      <c r="I636" s="137"/>
      <c r="J636" s="138"/>
    </row>
    <row r="637" spans="3:10" ht="20.25" customHeight="1">
      <c r="C637" s="207"/>
      <c r="D637" s="60">
        <v>629</v>
      </c>
      <c r="E637" s="136"/>
      <c r="F637" s="137"/>
      <c r="G637" s="137"/>
      <c r="H637" s="137"/>
      <c r="I637" s="137"/>
      <c r="J637" s="138"/>
    </row>
    <row r="638" spans="3:10" ht="20.25" customHeight="1">
      <c r="C638" s="207"/>
      <c r="D638" s="60">
        <v>630</v>
      </c>
      <c r="E638" s="136"/>
      <c r="F638" s="137"/>
      <c r="G638" s="137"/>
      <c r="H638" s="137"/>
      <c r="I638" s="137"/>
      <c r="J638" s="138"/>
    </row>
    <row r="639" spans="3:10" ht="20.25" customHeight="1">
      <c r="C639" s="207"/>
      <c r="D639" s="60">
        <v>631</v>
      </c>
      <c r="E639" s="136"/>
      <c r="F639" s="137"/>
      <c r="G639" s="137"/>
      <c r="H639" s="137"/>
      <c r="I639" s="137"/>
      <c r="J639" s="138"/>
    </row>
    <row r="640" spans="3:10" ht="20.25" customHeight="1">
      <c r="C640" s="207"/>
      <c r="D640" s="60">
        <v>632</v>
      </c>
      <c r="E640" s="136"/>
      <c r="F640" s="137"/>
      <c r="G640" s="137"/>
      <c r="H640" s="137"/>
      <c r="I640" s="137"/>
      <c r="J640" s="138"/>
    </row>
    <row r="641" spans="3:10" ht="20.25" customHeight="1">
      <c r="C641" s="207"/>
      <c r="D641" s="60">
        <v>633</v>
      </c>
      <c r="E641" s="136"/>
      <c r="F641" s="137"/>
      <c r="G641" s="137"/>
      <c r="H641" s="137"/>
      <c r="I641" s="137"/>
      <c r="J641" s="138"/>
    </row>
    <row r="642" spans="3:10" ht="20.25" customHeight="1">
      <c r="C642" s="207"/>
      <c r="D642" s="60">
        <v>634</v>
      </c>
      <c r="E642" s="136"/>
      <c r="F642" s="137"/>
      <c r="G642" s="137"/>
      <c r="H642" s="137"/>
      <c r="I642" s="137"/>
      <c r="J642" s="138"/>
    </row>
    <row r="643" spans="3:10" ht="20.25" customHeight="1">
      <c r="C643" s="207"/>
      <c r="D643" s="60">
        <v>635</v>
      </c>
      <c r="E643" s="136"/>
      <c r="F643" s="137"/>
      <c r="G643" s="137"/>
      <c r="H643" s="137"/>
      <c r="I643" s="137"/>
      <c r="J643" s="138"/>
    </row>
    <row r="644" spans="3:10" ht="20.25" customHeight="1">
      <c r="C644" s="207"/>
      <c r="D644" s="60">
        <v>636</v>
      </c>
      <c r="E644" s="136"/>
      <c r="F644" s="137"/>
      <c r="G644" s="137"/>
      <c r="H644" s="137"/>
      <c r="I644" s="137"/>
      <c r="J644" s="138"/>
    </row>
    <row r="645" spans="3:10" ht="20.25" customHeight="1">
      <c r="C645" s="207"/>
      <c r="D645" s="60">
        <v>637</v>
      </c>
      <c r="E645" s="136"/>
      <c r="F645" s="137"/>
      <c r="G645" s="137"/>
      <c r="H645" s="137"/>
      <c r="I645" s="137"/>
      <c r="J645" s="138"/>
    </row>
    <row r="646" spans="3:10" ht="20.25" customHeight="1">
      <c r="C646" s="207"/>
      <c r="D646" s="60">
        <v>638</v>
      </c>
      <c r="E646" s="136"/>
      <c r="F646" s="137"/>
      <c r="G646" s="137"/>
      <c r="H646" s="137"/>
      <c r="I646" s="137"/>
      <c r="J646" s="138"/>
    </row>
    <row r="647" spans="3:10" ht="20.25" customHeight="1">
      <c r="C647" s="207"/>
      <c r="D647" s="60">
        <v>639</v>
      </c>
      <c r="E647" s="136"/>
      <c r="F647" s="137"/>
      <c r="G647" s="137"/>
      <c r="H647" s="137"/>
      <c r="I647" s="137"/>
      <c r="J647" s="138"/>
    </row>
    <row r="648" spans="3:10" ht="20.25" customHeight="1">
      <c r="C648" s="207"/>
      <c r="D648" s="60">
        <v>640</v>
      </c>
      <c r="E648" s="136"/>
      <c r="F648" s="137"/>
      <c r="G648" s="137"/>
      <c r="H648" s="137"/>
      <c r="I648" s="137"/>
      <c r="J648" s="138"/>
    </row>
    <row r="649" spans="3:10" ht="20.25" customHeight="1">
      <c r="C649" s="207"/>
      <c r="D649" s="60">
        <v>641</v>
      </c>
      <c r="E649" s="136"/>
      <c r="F649" s="137"/>
      <c r="G649" s="137"/>
      <c r="H649" s="137"/>
      <c r="I649" s="137"/>
      <c r="J649" s="138"/>
    </row>
    <row r="650" spans="3:10" ht="20.25" customHeight="1">
      <c r="C650" s="207"/>
      <c r="D650" s="60">
        <v>642</v>
      </c>
      <c r="E650" s="136"/>
      <c r="F650" s="137"/>
      <c r="G650" s="137"/>
      <c r="H650" s="137"/>
      <c r="I650" s="137"/>
      <c r="J650" s="138"/>
    </row>
    <row r="651" spans="3:10" ht="20.25" customHeight="1">
      <c r="C651" s="207"/>
      <c r="D651" s="60">
        <v>643</v>
      </c>
      <c r="E651" s="136"/>
      <c r="F651" s="137"/>
      <c r="G651" s="137"/>
      <c r="H651" s="137"/>
      <c r="I651" s="137"/>
      <c r="J651" s="138"/>
    </row>
    <row r="652" spans="3:10" ht="20.25" customHeight="1">
      <c r="C652" s="207"/>
      <c r="D652" s="60">
        <v>644</v>
      </c>
      <c r="E652" s="136"/>
      <c r="F652" s="137"/>
      <c r="G652" s="137"/>
      <c r="H652" s="137"/>
      <c r="I652" s="137"/>
      <c r="J652" s="138"/>
    </row>
    <row r="653" spans="3:10" ht="20.25" customHeight="1">
      <c r="C653" s="207"/>
      <c r="D653" s="60">
        <v>645</v>
      </c>
      <c r="E653" s="136"/>
      <c r="F653" s="137"/>
      <c r="G653" s="137"/>
      <c r="H653" s="137"/>
      <c r="I653" s="137"/>
      <c r="J653" s="138"/>
    </row>
    <row r="654" spans="3:10" ht="20.25" customHeight="1">
      <c r="C654" s="207"/>
      <c r="D654" s="60">
        <v>646</v>
      </c>
      <c r="E654" s="136"/>
      <c r="F654" s="137"/>
      <c r="G654" s="137"/>
      <c r="H654" s="137"/>
      <c r="I654" s="137"/>
      <c r="J654" s="138"/>
    </row>
    <row r="655" spans="3:10" ht="20.25" customHeight="1">
      <c r="C655" s="207"/>
      <c r="D655" s="60">
        <v>647</v>
      </c>
      <c r="E655" s="136"/>
      <c r="F655" s="137"/>
      <c r="G655" s="137"/>
      <c r="H655" s="137"/>
      <c r="I655" s="137"/>
      <c r="J655" s="138"/>
    </row>
    <row r="656" spans="3:10" ht="20.25" customHeight="1">
      <c r="C656" s="207"/>
      <c r="D656" s="60">
        <v>648</v>
      </c>
      <c r="E656" s="136"/>
      <c r="F656" s="137"/>
      <c r="G656" s="137"/>
      <c r="H656" s="137"/>
      <c r="I656" s="137"/>
      <c r="J656" s="138"/>
    </row>
    <row r="657" spans="3:10" ht="20.25" customHeight="1">
      <c r="C657" s="207"/>
      <c r="D657" s="60">
        <v>649</v>
      </c>
      <c r="E657" s="136"/>
      <c r="F657" s="137"/>
      <c r="G657" s="137"/>
      <c r="H657" s="137"/>
      <c r="I657" s="137"/>
      <c r="J657" s="138"/>
    </row>
    <row r="658" spans="3:10" ht="20.25" customHeight="1">
      <c r="C658" s="207"/>
      <c r="D658" s="60">
        <v>650</v>
      </c>
      <c r="E658" s="136"/>
      <c r="F658" s="137"/>
      <c r="G658" s="137"/>
      <c r="H658" s="137"/>
      <c r="I658" s="137"/>
      <c r="J658" s="138"/>
    </row>
    <row r="659" spans="3:10" ht="20.25" customHeight="1">
      <c r="C659" s="207"/>
      <c r="D659" s="60">
        <v>651</v>
      </c>
      <c r="E659" s="136"/>
      <c r="F659" s="137"/>
      <c r="G659" s="137"/>
      <c r="H659" s="137"/>
      <c r="I659" s="137"/>
      <c r="J659" s="138"/>
    </row>
    <row r="660" spans="3:10" ht="20.25" customHeight="1">
      <c r="C660" s="207"/>
      <c r="D660" s="60">
        <v>652</v>
      </c>
      <c r="E660" s="136"/>
      <c r="F660" s="137"/>
      <c r="G660" s="137"/>
      <c r="H660" s="137"/>
      <c r="I660" s="137"/>
      <c r="J660" s="138"/>
    </row>
    <row r="661" spans="3:10" ht="20.25" customHeight="1">
      <c r="C661" s="207"/>
      <c r="D661" s="60">
        <v>653</v>
      </c>
      <c r="E661" s="136"/>
      <c r="F661" s="137"/>
      <c r="G661" s="137"/>
      <c r="H661" s="137"/>
      <c r="I661" s="137"/>
      <c r="J661" s="138"/>
    </row>
    <row r="662" spans="3:10" ht="20.25" customHeight="1">
      <c r="C662" s="207"/>
      <c r="D662" s="60">
        <v>654</v>
      </c>
      <c r="E662" s="136"/>
      <c r="F662" s="137"/>
      <c r="G662" s="137"/>
      <c r="H662" s="137"/>
      <c r="I662" s="137"/>
      <c r="J662" s="138"/>
    </row>
    <row r="663" spans="3:10" ht="20.25" customHeight="1">
      <c r="C663" s="207"/>
      <c r="D663" s="60">
        <v>655</v>
      </c>
      <c r="E663" s="136"/>
      <c r="F663" s="137"/>
      <c r="G663" s="137"/>
      <c r="H663" s="137"/>
      <c r="I663" s="137"/>
      <c r="J663" s="138"/>
    </row>
    <row r="664" spans="3:10" ht="20.25" customHeight="1">
      <c r="C664" s="207"/>
      <c r="D664" s="60">
        <v>656</v>
      </c>
      <c r="E664" s="136"/>
      <c r="F664" s="137"/>
      <c r="G664" s="137"/>
      <c r="H664" s="137"/>
      <c r="I664" s="137"/>
      <c r="J664" s="138"/>
    </row>
    <row r="665" spans="3:10" ht="20.25" customHeight="1">
      <c r="C665" s="207"/>
      <c r="D665" s="60">
        <v>657</v>
      </c>
      <c r="E665" s="136"/>
      <c r="F665" s="137"/>
      <c r="G665" s="137"/>
      <c r="H665" s="137"/>
      <c r="I665" s="137"/>
      <c r="J665" s="138"/>
    </row>
    <row r="666" spans="3:10" ht="20.25" customHeight="1">
      <c r="C666" s="207"/>
      <c r="D666" s="60">
        <v>658</v>
      </c>
      <c r="E666" s="136"/>
      <c r="F666" s="137"/>
      <c r="G666" s="137"/>
      <c r="H666" s="137"/>
      <c r="I666" s="137"/>
      <c r="J666" s="138"/>
    </row>
    <row r="667" spans="3:10" ht="20.25" customHeight="1">
      <c r="C667" s="207"/>
      <c r="D667" s="60">
        <v>659</v>
      </c>
      <c r="E667" s="136"/>
      <c r="F667" s="137"/>
      <c r="G667" s="137"/>
      <c r="H667" s="137"/>
      <c r="I667" s="137"/>
      <c r="J667" s="138"/>
    </row>
    <row r="668" spans="3:10" ht="20.25" customHeight="1">
      <c r="C668" s="207"/>
      <c r="D668" s="60">
        <v>660</v>
      </c>
      <c r="E668" s="136"/>
      <c r="F668" s="137"/>
      <c r="G668" s="137"/>
      <c r="H668" s="137"/>
      <c r="I668" s="137"/>
      <c r="J668" s="138"/>
    </row>
    <row r="669" spans="3:10" ht="20.25" customHeight="1">
      <c r="C669" s="207"/>
      <c r="D669" s="60">
        <v>661</v>
      </c>
      <c r="E669" s="136"/>
      <c r="F669" s="137"/>
      <c r="G669" s="137"/>
      <c r="H669" s="137"/>
      <c r="I669" s="137"/>
      <c r="J669" s="138"/>
    </row>
    <row r="670" spans="3:10" ht="20.25" customHeight="1">
      <c r="C670" s="207"/>
      <c r="D670" s="60">
        <v>662</v>
      </c>
      <c r="E670" s="136"/>
      <c r="F670" s="137"/>
      <c r="G670" s="137"/>
      <c r="H670" s="137"/>
      <c r="I670" s="137"/>
      <c r="J670" s="138"/>
    </row>
    <row r="671" spans="3:10" ht="20.25" customHeight="1">
      <c r="C671" s="207"/>
      <c r="D671" s="60">
        <v>663</v>
      </c>
      <c r="E671" s="136"/>
      <c r="F671" s="137"/>
      <c r="G671" s="137"/>
      <c r="H671" s="137"/>
      <c r="I671" s="137"/>
      <c r="J671" s="138"/>
    </row>
    <row r="672" spans="3:10" ht="20.25" customHeight="1">
      <c r="C672" s="207"/>
      <c r="D672" s="60">
        <v>664</v>
      </c>
      <c r="E672" s="136"/>
      <c r="F672" s="137"/>
      <c r="G672" s="137"/>
      <c r="H672" s="137"/>
      <c r="I672" s="137"/>
      <c r="J672" s="138"/>
    </row>
    <row r="673" spans="3:10" ht="20.25" customHeight="1">
      <c r="C673" s="207"/>
      <c r="D673" s="60">
        <v>665</v>
      </c>
      <c r="E673" s="136"/>
      <c r="F673" s="137"/>
      <c r="G673" s="137"/>
      <c r="H673" s="137"/>
      <c r="I673" s="137"/>
      <c r="J673" s="138"/>
    </row>
    <row r="674" spans="3:10" ht="20.25" customHeight="1">
      <c r="C674" s="207"/>
      <c r="D674" s="60">
        <v>666</v>
      </c>
      <c r="E674" s="136"/>
      <c r="F674" s="137"/>
      <c r="G674" s="137"/>
      <c r="H674" s="137"/>
      <c r="I674" s="137"/>
      <c r="J674" s="138"/>
    </row>
    <row r="675" spans="3:10" ht="20.25" customHeight="1">
      <c r="C675" s="207"/>
      <c r="D675" s="60">
        <v>667</v>
      </c>
      <c r="E675" s="136"/>
      <c r="F675" s="137"/>
      <c r="G675" s="137"/>
      <c r="H675" s="137"/>
      <c r="I675" s="137"/>
      <c r="J675" s="138"/>
    </row>
    <row r="676" spans="3:10" ht="20.25" customHeight="1">
      <c r="C676" s="207"/>
      <c r="D676" s="60">
        <v>668</v>
      </c>
      <c r="E676" s="136"/>
      <c r="F676" s="137"/>
      <c r="G676" s="137"/>
      <c r="H676" s="137"/>
      <c r="I676" s="137"/>
      <c r="J676" s="138"/>
    </row>
    <row r="677" spans="3:10" ht="20.25" customHeight="1">
      <c r="C677" s="207"/>
      <c r="D677" s="60">
        <v>669</v>
      </c>
      <c r="E677" s="136"/>
      <c r="F677" s="137"/>
      <c r="G677" s="137"/>
      <c r="H677" s="137"/>
      <c r="I677" s="137"/>
      <c r="J677" s="138"/>
    </row>
    <row r="678" spans="3:10" ht="20.25" customHeight="1">
      <c r="C678" s="207"/>
      <c r="D678" s="60">
        <v>670</v>
      </c>
      <c r="E678" s="136"/>
      <c r="F678" s="137"/>
      <c r="G678" s="137"/>
      <c r="H678" s="137"/>
      <c r="I678" s="137"/>
      <c r="J678" s="138"/>
    </row>
    <row r="679" spans="3:10" ht="20.25" customHeight="1">
      <c r="C679" s="207"/>
      <c r="D679" s="60">
        <v>671</v>
      </c>
      <c r="E679" s="136"/>
      <c r="F679" s="137"/>
      <c r="G679" s="137"/>
      <c r="H679" s="137"/>
      <c r="I679" s="137"/>
      <c r="J679" s="138"/>
    </row>
    <row r="680" spans="3:10" ht="20.25" customHeight="1">
      <c r="C680" s="207"/>
      <c r="D680" s="60">
        <v>672</v>
      </c>
      <c r="E680" s="136"/>
      <c r="F680" s="137"/>
      <c r="G680" s="137"/>
      <c r="H680" s="137"/>
      <c r="I680" s="137"/>
      <c r="J680" s="138"/>
    </row>
    <row r="681" spans="3:10" ht="20.25" customHeight="1">
      <c r="C681" s="207"/>
      <c r="D681" s="60">
        <v>673</v>
      </c>
      <c r="E681" s="136"/>
      <c r="F681" s="137"/>
      <c r="G681" s="137"/>
      <c r="H681" s="137"/>
      <c r="I681" s="137"/>
      <c r="J681" s="138"/>
    </row>
    <row r="682" spans="3:10" ht="20.25" customHeight="1">
      <c r="C682" s="207"/>
      <c r="D682" s="60">
        <v>674</v>
      </c>
      <c r="E682" s="136"/>
      <c r="F682" s="137"/>
      <c r="G682" s="137"/>
      <c r="H682" s="137"/>
      <c r="I682" s="137"/>
      <c r="J682" s="138"/>
    </row>
    <row r="683" spans="3:10" ht="20.25" customHeight="1">
      <c r="C683" s="207"/>
      <c r="D683" s="60">
        <v>675</v>
      </c>
      <c r="E683" s="136"/>
      <c r="F683" s="137"/>
      <c r="G683" s="137"/>
      <c r="H683" s="137"/>
      <c r="I683" s="137"/>
      <c r="J683" s="138"/>
    </row>
    <row r="684" spans="3:10" ht="20.25" customHeight="1">
      <c r="C684" s="207"/>
      <c r="D684" s="60">
        <v>676</v>
      </c>
      <c r="E684" s="136"/>
      <c r="F684" s="137"/>
      <c r="G684" s="137"/>
      <c r="H684" s="137"/>
      <c r="I684" s="137"/>
      <c r="J684" s="138"/>
    </row>
    <row r="685" spans="3:10" ht="20.25" customHeight="1">
      <c r="C685" s="207"/>
      <c r="D685" s="60">
        <v>677</v>
      </c>
      <c r="E685" s="136"/>
      <c r="F685" s="137"/>
      <c r="G685" s="137"/>
      <c r="H685" s="137"/>
      <c r="I685" s="137"/>
      <c r="J685" s="138"/>
    </row>
    <row r="686" spans="3:10" ht="20.25" customHeight="1">
      <c r="C686" s="207"/>
      <c r="D686" s="60">
        <v>678</v>
      </c>
      <c r="E686" s="136"/>
      <c r="F686" s="137"/>
      <c r="G686" s="137"/>
      <c r="H686" s="137"/>
      <c r="I686" s="137"/>
      <c r="J686" s="138"/>
    </row>
    <row r="687" spans="3:10" ht="20.25" customHeight="1">
      <c r="C687" s="207"/>
      <c r="D687" s="60">
        <v>679</v>
      </c>
      <c r="E687" s="136"/>
      <c r="F687" s="137"/>
      <c r="G687" s="137"/>
      <c r="H687" s="137"/>
      <c r="I687" s="137"/>
      <c r="J687" s="138"/>
    </row>
    <row r="688" spans="3:10" ht="20.25" customHeight="1">
      <c r="C688" s="207"/>
      <c r="D688" s="60">
        <v>680</v>
      </c>
      <c r="E688" s="136"/>
      <c r="F688" s="137"/>
      <c r="G688" s="137"/>
      <c r="H688" s="137"/>
      <c r="I688" s="137"/>
      <c r="J688" s="138"/>
    </row>
    <row r="689" spans="3:10" ht="20.25" customHeight="1">
      <c r="C689" s="207"/>
      <c r="D689" s="60">
        <v>681</v>
      </c>
      <c r="E689" s="136"/>
      <c r="F689" s="137"/>
      <c r="G689" s="137"/>
      <c r="H689" s="137"/>
      <c r="I689" s="137"/>
      <c r="J689" s="138"/>
    </row>
    <row r="690" spans="3:10" ht="20.25" customHeight="1">
      <c r="C690" s="207"/>
      <c r="D690" s="60">
        <v>682</v>
      </c>
      <c r="E690" s="136"/>
      <c r="F690" s="137"/>
      <c r="G690" s="137"/>
      <c r="H690" s="137"/>
      <c r="I690" s="137"/>
      <c r="J690" s="138"/>
    </row>
    <row r="691" spans="3:10" ht="20.25" customHeight="1">
      <c r="C691" s="207"/>
      <c r="D691" s="60">
        <v>683</v>
      </c>
      <c r="E691" s="136"/>
      <c r="F691" s="137"/>
      <c r="G691" s="137"/>
      <c r="H691" s="137"/>
      <c r="I691" s="137"/>
      <c r="J691" s="138"/>
    </row>
    <row r="692" spans="3:10" ht="20.25" customHeight="1">
      <c r="C692" s="207"/>
      <c r="D692" s="60">
        <v>684</v>
      </c>
      <c r="E692" s="136"/>
      <c r="F692" s="137"/>
      <c r="G692" s="137"/>
      <c r="H692" s="137"/>
      <c r="I692" s="137"/>
      <c r="J692" s="138"/>
    </row>
    <row r="693" spans="3:10" ht="20.25" customHeight="1">
      <c r="C693" s="207"/>
      <c r="D693" s="60">
        <v>685</v>
      </c>
      <c r="E693" s="136"/>
      <c r="F693" s="137"/>
      <c r="G693" s="137"/>
      <c r="H693" s="137"/>
      <c r="I693" s="137"/>
      <c r="J693" s="138"/>
    </row>
    <row r="694" spans="3:10" ht="20.25" customHeight="1">
      <c r="C694" s="207"/>
      <c r="D694" s="60">
        <v>686</v>
      </c>
      <c r="E694" s="136"/>
      <c r="F694" s="137"/>
      <c r="G694" s="137"/>
      <c r="H694" s="137"/>
      <c r="I694" s="137"/>
      <c r="J694" s="138"/>
    </row>
    <row r="695" spans="3:10" ht="20.25" customHeight="1">
      <c r="C695" s="207"/>
      <c r="D695" s="60">
        <v>687</v>
      </c>
      <c r="E695" s="136"/>
      <c r="F695" s="137"/>
      <c r="G695" s="137"/>
      <c r="H695" s="137"/>
      <c r="I695" s="137"/>
      <c r="J695" s="138"/>
    </row>
    <row r="696" spans="3:10" ht="20.25" customHeight="1">
      <c r="C696" s="207"/>
      <c r="D696" s="60">
        <v>688</v>
      </c>
      <c r="E696" s="136"/>
      <c r="F696" s="137"/>
      <c r="G696" s="137"/>
      <c r="H696" s="137"/>
      <c r="I696" s="137"/>
      <c r="J696" s="138"/>
    </row>
    <row r="697" spans="3:10" ht="20.25" customHeight="1">
      <c r="C697" s="207"/>
      <c r="D697" s="60">
        <v>689</v>
      </c>
      <c r="E697" s="136"/>
      <c r="F697" s="137"/>
      <c r="G697" s="137"/>
      <c r="H697" s="137"/>
      <c r="I697" s="137"/>
      <c r="J697" s="138"/>
    </row>
    <row r="698" spans="3:10" ht="20.25" customHeight="1">
      <c r="C698" s="207"/>
      <c r="D698" s="60">
        <v>690</v>
      </c>
      <c r="E698" s="136"/>
      <c r="F698" s="137"/>
      <c r="G698" s="137"/>
      <c r="H698" s="137"/>
      <c r="I698" s="137"/>
      <c r="J698" s="138"/>
    </row>
    <row r="699" spans="3:10" ht="20.25" customHeight="1">
      <c r="C699" s="207"/>
      <c r="D699" s="60">
        <v>691</v>
      </c>
      <c r="E699" s="136"/>
      <c r="F699" s="137"/>
      <c r="G699" s="137"/>
      <c r="H699" s="137"/>
      <c r="I699" s="137"/>
      <c r="J699" s="138"/>
    </row>
    <row r="700" spans="3:10" ht="20.25" customHeight="1">
      <c r="C700" s="207"/>
      <c r="D700" s="60">
        <v>692</v>
      </c>
      <c r="E700" s="136"/>
      <c r="F700" s="137"/>
      <c r="G700" s="137"/>
      <c r="H700" s="137"/>
      <c r="I700" s="137"/>
      <c r="J700" s="138"/>
    </row>
    <row r="701" spans="3:10" ht="20.25" customHeight="1">
      <c r="C701" s="207"/>
      <c r="D701" s="60">
        <v>693</v>
      </c>
      <c r="E701" s="136"/>
      <c r="F701" s="137"/>
      <c r="G701" s="137"/>
      <c r="H701" s="137"/>
      <c r="I701" s="137"/>
      <c r="J701" s="138"/>
    </row>
    <row r="702" spans="3:10" ht="20.25" customHeight="1">
      <c r="C702" s="207"/>
      <c r="D702" s="60">
        <v>694</v>
      </c>
      <c r="E702" s="136"/>
      <c r="F702" s="137"/>
      <c r="G702" s="137"/>
      <c r="H702" s="137"/>
      <c r="I702" s="137"/>
      <c r="J702" s="138"/>
    </row>
    <row r="703" spans="3:10" ht="20.25" customHeight="1">
      <c r="C703" s="207"/>
      <c r="D703" s="60">
        <v>695</v>
      </c>
      <c r="E703" s="136"/>
      <c r="F703" s="137"/>
      <c r="G703" s="137"/>
      <c r="H703" s="137"/>
      <c r="I703" s="137"/>
      <c r="J703" s="138"/>
    </row>
    <row r="704" spans="3:10" ht="20.25" customHeight="1">
      <c r="C704" s="207"/>
      <c r="D704" s="60">
        <v>696</v>
      </c>
      <c r="E704" s="136"/>
      <c r="F704" s="137"/>
      <c r="G704" s="137"/>
      <c r="H704" s="137"/>
      <c r="I704" s="137"/>
      <c r="J704" s="138"/>
    </row>
    <row r="705" spans="3:10" ht="20.25" customHeight="1">
      <c r="C705" s="207"/>
      <c r="D705" s="60">
        <v>697</v>
      </c>
      <c r="E705" s="136"/>
      <c r="F705" s="137"/>
      <c r="G705" s="137"/>
      <c r="H705" s="137"/>
      <c r="I705" s="137"/>
      <c r="J705" s="138"/>
    </row>
    <row r="706" spans="3:10" ht="20.25" customHeight="1">
      <c r="C706" s="207"/>
      <c r="D706" s="60">
        <v>698</v>
      </c>
      <c r="E706" s="136"/>
      <c r="F706" s="137"/>
      <c r="G706" s="137"/>
      <c r="H706" s="137"/>
      <c r="I706" s="137"/>
      <c r="J706" s="138"/>
    </row>
    <row r="707" spans="3:10" ht="20.25" customHeight="1">
      <c r="C707" s="207"/>
      <c r="D707" s="60">
        <v>699</v>
      </c>
      <c r="E707" s="136"/>
      <c r="F707" s="137"/>
      <c r="G707" s="137"/>
      <c r="H707" s="137"/>
      <c r="I707" s="137"/>
      <c r="J707" s="138"/>
    </row>
    <row r="708" spans="3:10" ht="20.25" customHeight="1">
      <c r="C708" s="207"/>
      <c r="D708" s="60">
        <v>700</v>
      </c>
      <c r="E708" s="136"/>
      <c r="F708" s="137"/>
      <c r="G708" s="137"/>
      <c r="H708" s="137"/>
      <c r="I708" s="137"/>
      <c r="J708" s="138"/>
    </row>
    <row r="709" spans="3:10" ht="20.25" customHeight="1">
      <c r="C709" s="207"/>
      <c r="D709" s="60">
        <v>701</v>
      </c>
      <c r="E709" s="136"/>
      <c r="F709" s="137"/>
      <c r="G709" s="137"/>
      <c r="H709" s="137"/>
      <c r="I709" s="137"/>
      <c r="J709" s="138"/>
    </row>
    <row r="710" spans="3:10" ht="20.25" customHeight="1">
      <c r="C710" s="207"/>
      <c r="D710" s="60">
        <v>702</v>
      </c>
      <c r="E710" s="136"/>
      <c r="F710" s="137"/>
      <c r="G710" s="137"/>
      <c r="H710" s="137"/>
      <c r="I710" s="137"/>
      <c r="J710" s="138"/>
    </row>
    <row r="711" spans="3:10" ht="20.25" customHeight="1">
      <c r="C711" s="207"/>
      <c r="D711" s="60">
        <v>703</v>
      </c>
      <c r="E711" s="136"/>
      <c r="F711" s="137"/>
      <c r="G711" s="137"/>
      <c r="H711" s="137"/>
      <c r="I711" s="137"/>
      <c r="J711" s="138"/>
    </row>
    <row r="712" spans="3:10" ht="20.25" customHeight="1">
      <c r="C712" s="207"/>
      <c r="D712" s="60">
        <v>704</v>
      </c>
      <c r="E712" s="136"/>
      <c r="F712" s="137"/>
      <c r="G712" s="137"/>
      <c r="H712" s="137"/>
      <c r="I712" s="137"/>
      <c r="J712" s="138"/>
    </row>
    <row r="713" spans="3:10" ht="20.25" customHeight="1">
      <c r="C713" s="207"/>
      <c r="D713" s="60">
        <v>705</v>
      </c>
      <c r="E713" s="136"/>
      <c r="F713" s="137"/>
      <c r="G713" s="137"/>
      <c r="H713" s="137"/>
      <c r="I713" s="137"/>
      <c r="J713" s="138"/>
    </row>
    <row r="714" spans="3:10" ht="20.25" customHeight="1">
      <c r="C714" s="207"/>
      <c r="D714" s="60">
        <v>706</v>
      </c>
      <c r="E714" s="136"/>
      <c r="F714" s="137"/>
      <c r="G714" s="137"/>
      <c r="H714" s="137"/>
      <c r="I714" s="137"/>
      <c r="J714" s="138"/>
    </row>
    <row r="715" spans="3:10" ht="20.25" customHeight="1">
      <c r="C715" s="207"/>
      <c r="D715" s="60">
        <v>707</v>
      </c>
      <c r="E715" s="136"/>
      <c r="F715" s="137"/>
      <c r="G715" s="137"/>
      <c r="H715" s="137"/>
      <c r="I715" s="137"/>
      <c r="J715" s="138"/>
    </row>
    <row r="716" spans="3:10" ht="20.25" customHeight="1">
      <c r="C716" s="207"/>
      <c r="D716" s="60">
        <v>708</v>
      </c>
      <c r="E716" s="136"/>
      <c r="F716" s="137"/>
      <c r="G716" s="137"/>
      <c r="H716" s="137"/>
      <c r="I716" s="137"/>
      <c r="J716" s="138"/>
    </row>
    <row r="717" spans="3:10" ht="20.25" customHeight="1">
      <c r="C717" s="207"/>
      <c r="D717" s="60">
        <v>709</v>
      </c>
      <c r="E717" s="136"/>
      <c r="F717" s="137"/>
      <c r="G717" s="137"/>
      <c r="H717" s="137"/>
      <c r="I717" s="137"/>
      <c r="J717" s="138"/>
    </row>
    <row r="718" spans="3:10" ht="20.25" customHeight="1">
      <c r="C718" s="207"/>
      <c r="D718" s="60">
        <v>710</v>
      </c>
      <c r="E718" s="136"/>
      <c r="F718" s="137"/>
      <c r="G718" s="137"/>
      <c r="H718" s="137"/>
      <c r="I718" s="137"/>
      <c r="J718" s="138"/>
    </row>
    <row r="719" spans="3:10" ht="20.25" customHeight="1">
      <c r="C719" s="207"/>
      <c r="D719" s="60">
        <v>711</v>
      </c>
      <c r="E719" s="136"/>
      <c r="F719" s="137"/>
      <c r="G719" s="137"/>
      <c r="H719" s="137"/>
      <c r="I719" s="137"/>
      <c r="J719" s="138"/>
    </row>
    <row r="720" spans="3:10" ht="20.25" customHeight="1">
      <c r="C720" s="207"/>
      <c r="D720" s="60">
        <v>712</v>
      </c>
      <c r="E720" s="136"/>
      <c r="F720" s="137"/>
      <c r="G720" s="137"/>
      <c r="H720" s="137"/>
      <c r="I720" s="137"/>
      <c r="J720" s="138"/>
    </row>
    <row r="721" spans="3:10" ht="20.25" customHeight="1">
      <c r="C721" s="207"/>
      <c r="D721" s="60">
        <v>713</v>
      </c>
      <c r="E721" s="136"/>
      <c r="F721" s="137"/>
      <c r="G721" s="137"/>
      <c r="H721" s="137"/>
      <c r="I721" s="137"/>
      <c r="J721" s="138"/>
    </row>
    <row r="722" spans="3:10" ht="20.25" customHeight="1">
      <c r="C722" s="207"/>
      <c r="D722" s="60">
        <v>714</v>
      </c>
      <c r="E722" s="136"/>
      <c r="F722" s="137"/>
      <c r="G722" s="137"/>
      <c r="H722" s="137"/>
      <c r="I722" s="137"/>
      <c r="J722" s="138"/>
    </row>
    <row r="723" spans="3:10" ht="20.25" customHeight="1">
      <c r="C723" s="207"/>
      <c r="D723" s="60">
        <v>715</v>
      </c>
      <c r="E723" s="136"/>
      <c r="F723" s="137"/>
      <c r="G723" s="137"/>
      <c r="H723" s="137"/>
      <c r="I723" s="137"/>
      <c r="J723" s="138"/>
    </row>
    <row r="724" spans="3:10" ht="20.25" customHeight="1">
      <c r="C724" s="207"/>
      <c r="D724" s="60">
        <v>716</v>
      </c>
      <c r="E724" s="136"/>
      <c r="F724" s="137"/>
      <c r="G724" s="137"/>
      <c r="H724" s="137"/>
      <c r="I724" s="137"/>
      <c r="J724" s="138"/>
    </row>
    <row r="725" spans="3:10" ht="20.25" customHeight="1">
      <c r="C725" s="207"/>
      <c r="D725" s="60">
        <v>717</v>
      </c>
      <c r="E725" s="136"/>
      <c r="F725" s="137"/>
      <c r="G725" s="137"/>
      <c r="H725" s="137"/>
      <c r="I725" s="137"/>
      <c r="J725" s="138"/>
    </row>
    <row r="726" spans="3:10" ht="20.25" customHeight="1">
      <c r="C726" s="207"/>
      <c r="D726" s="60">
        <v>718</v>
      </c>
      <c r="E726" s="136"/>
      <c r="F726" s="137"/>
      <c r="G726" s="137"/>
      <c r="H726" s="137"/>
      <c r="I726" s="137"/>
      <c r="J726" s="138"/>
    </row>
    <row r="727" spans="3:10" ht="20.25" customHeight="1">
      <c r="C727" s="207"/>
      <c r="D727" s="60">
        <v>719</v>
      </c>
      <c r="E727" s="136"/>
      <c r="F727" s="137"/>
      <c r="G727" s="137"/>
      <c r="H727" s="137"/>
      <c r="I727" s="137"/>
      <c r="J727" s="138"/>
    </row>
    <row r="728" spans="3:10" ht="20.25" customHeight="1">
      <c r="C728" s="207"/>
      <c r="D728" s="60">
        <v>720</v>
      </c>
      <c r="E728" s="136"/>
      <c r="F728" s="137"/>
      <c r="G728" s="137"/>
      <c r="H728" s="137"/>
      <c r="I728" s="137"/>
      <c r="J728" s="138"/>
    </row>
    <row r="729" spans="3:10" ht="20.25" customHeight="1">
      <c r="C729" s="207"/>
      <c r="D729" s="60">
        <v>721</v>
      </c>
      <c r="E729" s="136"/>
      <c r="F729" s="137"/>
      <c r="G729" s="137"/>
      <c r="H729" s="137"/>
      <c r="I729" s="137"/>
      <c r="J729" s="138"/>
    </row>
    <row r="730" spans="3:10" ht="20.25" customHeight="1">
      <c r="C730" s="207"/>
      <c r="D730" s="60">
        <v>722</v>
      </c>
      <c r="E730" s="136"/>
      <c r="F730" s="137"/>
      <c r="G730" s="137"/>
      <c r="H730" s="137"/>
      <c r="I730" s="137"/>
      <c r="J730" s="138"/>
    </row>
    <row r="731" spans="3:10" ht="20.25" customHeight="1">
      <c r="C731" s="207"/>
      <c r="D731" s="60">
        <v>723</v>
      </c>
      <c r="E731" s="136"/>
      <c r="F731" s="137"/>
      <c r="G731" s="137"/>
      <c r="H731" s="137"/>
      <c r="I731" s="137"/>
      <c r="J731" s="138"/>
    </row>
    <row r="732" spans="3:10" ht="20.25" customHeight="1">
      <c r="C732" s="207"/>
      <c r="D732" s="60">
        <v>724</v>
      </c>
      <c r="E732" s="136"/>
      <c r="F732" s="137"/>
      <c r="G732" s="137"/>
      <c r="H732" s="137"/>
      <c r="I732" s="137"/>
      <c r="J732" s="138"/>
    </row>
    <row r="733" spans="3:10" ht="20.25" customHeight="1">
      <c r="C733" s="207"/>
      <c r="D733" s="60">
        <v>725</v>
      </c>
      <c r="E733" s="136"/>
      <c r="F733" s="137"/>
      <c r="G733" s="137"/>
      <c r="H733" s="137"/>
      <c r="I733" s="137"/>
      <c r="J733" s="138"/>
    </row>
    <row r="734" spans="3:10" ht="20.25" customHeight="1">
      <c r="C734" s="207"/>
      <c r="D734" s="60">
        <v>726</v>
      </c>
      <c r="E734" s="136"/>
      <c r="F734" s="137"/>
      <c r="G734" s="137"/>
      <c r="H734" s="137"/>
      <c r="I734" s="137"/>
      <c r="J734" s="138"/>
    </row>
    <row r="735" spans="3:10" ht="20.25" customHeight="1">
      <c r="C735" s="207"/>
      <c r="D735" s="60">
        <v>727</v>
      </c>
      <c r="E735" s="136"/>
      <c r="F735" s="137"/>
      <c r="G735" s="137"/>
      <c r="H735" s="137"/>
      <c r="I735" s="137"/>
      <c r="J735" s="138"/>
    </row>
    <row r="736" spans="3:10" ht="20.25" customHeight="1">
      <c r="C736" s="207"/>
      <c r="D736" s="60">
        <v>728</v>
      </c>
      <c r="E736" s="136"/>
      <c r="F736" s="137"/>
      <c r="G736" s="137"/>
      <c r="H736" s="137"/>
      <c r="I736" s="137"/>
      <c r="J736" s="138"/>
    </row>
    <row r="737" spans="3:10" ht="20.25" customHeight="1">
      <c r="C737" s="207"/>
      <c r="D737" s="60">
        <v>729</v>
      </c>
      <c r="E737" s="136"/>
      <c r="F737" s="137"/>
      <c r="G737" s="137"/>
      <c r="H737" s="137"/>
      <c r="I737" s="137"/>
      <c r="J737" s="138"/>
    </row>
    <row r="738" spans="3:10" ht="20.25" customHeight="1">
      <c r="C738" s="207"/>
      <c r="D738" s="60">
        <v>730</v>
      </c>
      <c r="E738" s="136"/>
      <c r="F738" s="137"/>
      <c r="G738" s="137"/>
      <c r="H738" s="137"/>
      <c r="I738" s="137"/>
      <c r="J738" s="138"/>
    </row>
    <row r="739" spans="3:10" ht="20.25" customHeight="1">
      <c r="C739" s="207"/>
      <c r="D739" s="60">
        <v>731</v>
      </c>
      <c r="E739" s="136"/>
      <c r="F739" s="137"/>
      <c r="G739" s="137"/>
      <c r="H739" s="137"/>
      <c r="I739" s="137"/>
      <c r="J739" s="138"/>
    </row>
    <row r="740" spans="3:10" ht="20.25" customHeight="1">
      <c r="C740" s="207"/>
      <c r="D740" s="60">
        <v>732</v>
      </c>
      <c r="E740" s="136"/>
      <c r="F740" s="137"/>
      <c r="G740" s="137"/>
      <c r="H740" s="137"/>
      <c r="I740" s="137"/>
      <c r="J740" s="138"/>
    </row>
    <row r="741" spans="3:10" ht="20.25" customHeight="1">
      <c r="C741" s="207"/>
      <c r="D741" s="60">
        <v>733</v>
      </c>
      <c r="E741" s="136"/>
      <c r="F741" s="137"/>
      <c r="G741" s="137"/>
      <c r="H741" s="137"/>
      <c r="I741" s="137"/>
      <c r="J741" s="138"/>
    </row>
    <row r="742" spans="3:10" ht="20.25" customHeight="1">
      <c r="C742" s="207"/>
      <c r="D742" s="60">
        <v>734</v>
      </c>
      <c r="E742" s="136"/>
      <c r="F742" s="137"/>
      <c r="G742" s="137"/>
      <c r="H742" s="137"/>
      <c r="I742" s="137"/>
      <c r="J742" s="138"/>
    </row>
    <row r="743" spans="3:10" ht="20.25" customHeight="1">
      <c r="C743" s="207"/>
      <c r="D743" s="60">
        <v>735</v>
      </c>
      <c r="E743" s="136"/>
      <c r="F743" s="137"/>
      <c r="G743" s="137"/>
      <c r="H743" s="137"/>
      <c r="I743" s="137"/>
      <c r="J743" s="138"/>
    </row>
    <row r="744" spans="3:10" ht="20.25" customHeight="1">
      <c r="C744" s="207"/>
      <c r="D744" s="60">
        <v>736</v>
      </c>
      <c r="E744" s="136"/>
      <c r="F744" s="137"/>
      <c r="G744" s="137"/>
      <c r="H744" s="137"/>
      <c r="I744" s="137"/>
      <c r="J744" s="138"/>
    </row>
    <row r="745" spans="3:10" ht="20.25" customHeight="1">
      <c r="C745" s="207"/>
      <c r="D745" s="60">
        <v>737</v>
      </c>
      <c r="E745" s="136"/>
      <c r="F745" s="137"/>
      <c r="G745" s="137"/>
      <c r="H745" s="137"/>
      <c r="I745" s="137"/>
      <c r="J745" s="138"/>
    </row>
    <row r="746" spans="3:10" ht="20.25" customHeight="1">
      <c r="C746" s="207"/>
      <c r="D746" s="60">
        <v>738</v>
      </c>
      <c r="E746" s="136"/>
      <c r="F746" s="137"/>
      <c r="G746" s="137"/>
      <c r="H746" s="137"/>
      <c r="I746" s="137"/>
      <c r="J746" s="138"/>
    </row>
    <row r="747" spans="3:10" ht="20.25" customHeight="1">
      <c r="C747" s="207"/>
      <c r="D747" s="60">
        <v>739</v>
      </c>
      <c r="E747" s="136"/>
      <c r="F747" s="137"/>
      <c r="G747" s="137"/>
      <c r="H747" s="137"/>
      <c r="I747" s="137"/>
      <c r="J747" s="138"/>
    </row>
    <row r="748" spans="3:10" ht="20.25" customHeight="1">
      <c r="C748" s="207"/>
      <c r="D748" s="60">
        <v>740</v>
      </c>
      <c r="E748" s="136"/>
      <c r="F748" s="137"/>
      <c r="G748" s="137"/>
      <c r="H748" s="137"/>
      <c r="I748" s="137"/>
      <c r="J748" s="138"/>
    </row>
    <row r="749" spans="3:10" ht="20.25" customHeight="1">
      <c r="C749" s="207"/>
      <c r="D749" s="60">
        <v>741</v>
      </c>
      <c r="E749" s="136"/>
      <c r="F749" s="137"/>
      <c r="G749" s="137"/>
      <c r="H749" s="137"/>
      <c r="I749" s="137"/>
      <c r="J749" s="138"/>
    </row>
    <row r="750" spans="3:10" ht="20.25" customHeight="1">
      <c r="C750" s="207"/>
      <c r="D750" s="60">
        <v>742</v>
      </c>
      <c r="E750" s="136"/>
      <c r="F750" s="137"/>
      <c r="G750" s="137"/>
      <c r="H750" s="137"/>
      <c r="I750" s="137"/>
      <c r="J750" s="138"/>
    </row>
    <row r="751" spans="3:10" ht="20.25" customHeight="1">
      <c r="C751" s="207"/>
      <c r="D751" s="60">
        <v>743</v>
      </c>
      <c r="E751" s="136"/>
      <c r="F751" s="137"/>
      <c r="G751" s="137"/>
      <c r="H751" s="137"/>
      <c r="I751" s="137"/>
      <c r="J751" s="138"/>
    </row>
    <row r="752" spans="3:10" ht="20.25" customHeight="1">
      <c r="C752" s="207"/>
      <c r="D752" s="60">
        <v>744</v>
      </c>
      <c r="E752" s="136"/>
      <c r="F752" s="137"/>
      <c r="G752" s="137"/>
      <c r="H752" s="137"/>
      <c r="I752" s="137"/>
      <c r="J752" s="138"/>
    </row>
    <row r="753" spans="3:10" ht="20.25" customHeight="1">
      <c r="C753" s="207"/>
      <c r="D753" s="60">
        <v>745</v>
      </c>
      <c r="E753" s="136"/>
      <c r="F753" s="137"/>
      <c r="G753" s="137"/>
      <c r="H753" s="137"/>
      <c r="I753" s="137"/>
      <c r="J753" s="138"/>
    </row>
    <row r="754" spans="3:10" ht="20.25" customHeight="1">
      <c r="C754" s="207"/>
      <c r="D754" s="60">
        <v>746</v>
      </c>
      <c r="E754" s="136"/>
      <c r="F754" s="137"/>
      <c r="G754" s="137"/>
      <c r="H754" s="137"/>
      <c r="I754" s="137"/>
      <c r="J754" s="138"/>
    </row>
    <row r="755" spans="3:10" ht="20.25" customHeight="1">
      <c r="C755" s="207"/>
      <c r="D755" s="60">
        <v>747</v>
      </c>
      <c r="E755" s="136"/>
      <c r="F755" s="137"/>
      <c r="G755" s="137"/>
      <c r="H755" s="137"/>
      <c r="I755" s="137"/>
      <c r="J755" s="138"/>
    </row>
    <row r="756" spans="3:10" ht="20.25" customHeight="1">
      <c r="C756" s="207"/>
      <c r="D756" s="60">
        <v>748</v>
      </c>
      <c r="E756" s="136"/>
      <c r="F756" s="137"/>
      <c r="G756" s="137"/>
      <c r="H756" s="137"/>
      <c r="I756" s="137"/>
      <c r="J756" s="138"/>
    </row>
    <row r="757" spans="3:10" ht="20.25" customHeight="1">
      <c r="C757" s="207"/>
      <c r="D757" s="60">
        <v>749</v>
      </c>
      <c r="E757" s="136"/>
      <c r="F757" s="137"/>
      <c r="G757" s="137"/>
      <c r="H757" s="137"/>
      <c r="I757" s="137"/>
      <c r="J757" s="138"/>
    </row>
    <row r="758" spans="3:10" ht="20.25" customHeight="1">
      <c r="C758" s="207"/>
      <c r="D758" s="60">
        <v>750</v>
      </c>
      <c r="E758" s="136"/>
      <c r="F758" s="137"/>
      <c r="G758" s="137"/>
      <c r="H758" s="137"/>
      <c r="I758" s="137"/>
      <c r="J758" s="138"/>
    </row>
    <row r="759" spans="3:10" ht="20.25" customHeight="1">
      <c r="C759" s="207"/>
      <c r="D759" s="60">
        <v>751</v>
      </c>
      <c r="E759" s="136"/>
      <c r="F759" s="137"/>
      <c r="G759" s="137"/>
      <c r="H759" s="137"/>
      <c r="I759" s="137"/>
      <c r="J759" s="138"/>
    </row>
    <row r="760" spans="3:10" ht="20.25" customHeight="1">
      <c r="C760" s="207"/>
      <c r="D760" s="60">
        <v>752</v>
      </c>
      <c r="E760" s="136"/>
      <c r="F760" s="137"/>
      <c r="G760" s="137"/>
      <c r="H760" s="137"/>
      <c r="I760" s="137"/>
      <c r="J760" s="138"/>
    </row>
    <row r="761" spans="3:10" ht="20.25" customHeight="1">
      <c r="C761" s="207"/>
      <c r="D761" s="60">
        <v>753</v>
      </c>
      <c r="E761" s="136"/>
      <c r="F761" s="137"/>
      <c r="G761" s="137"/>
      <c r="H761" s="137"/>
      <c r="I761" s="137"/>
      <c r="J761" s="138"/>
    </row>
    <row r="762" spans="3:10" ht="20.25" customHeight="1">
      <c r="C762" s="207"/>
      <c r="D762" s="60">
        <v>754</v>
      </c>
      <c r="E762" s="136"/>
      <c r="F762" s="137"/>
      <c r="G762" s="137"/>
      <c r="H762" s="137"/>
      <c r="I762" s="137"/>
      <c r="J762" s="138"/>
    </row>
    <row r="763" spans="3:10" ht="20.25" customHeight="1">
      <c r="C763" s="207"/>
      <c r="D763" s="60">
        <v>755</v>
      </c>
      <c r="E763" s="136"/>
      <c r="F763" s="137"/>
      <c r="G763" s="137"/>
      <c r="H763" s="137"/>
      <c r="I763" s="137"/>
      <c r="J763" s="138"/>
    </row>
    <row r="764" spans="3:10" ht="20.25" customHeight="1">
      <c r="C764" s="207"/>
      <c r="D764" s="60">
        <v>756</v>
      </c>
      <c r="E764" s="136"/>
      <c r="F764" s="137"/>
      <c r="G764" s="137"/>
      <c r="H764" s="137"/>
      <c r="I764" s="137"/>
      <c r="J764" s="138"/>
    </row>
    <row r="765" spans="3:10" ht="20.25" customHeight="1">
      <c r="C765" s="207"/>
      <c r="D765" s="60">
        <v>757</v>
      </c>
      <c r="E765" s="136"/>
      <c r="F765" s="137"/>
      <c r="G765" s="137"/>
      <c r="H765" s="137"/>
      <c r="I765" s="137"/>
      <c r="J765" s="138"/>
    </row>
    <row r="766" spans="3:10" ht="20.25" customHeight="1">
      <c r="C766" s="207"/>
      <c r="D766" s="60">
        <v>758</v>
      </c>
      <c r="E766" s="136"/>
      <c r="F766" s="137"/>
      <c r="G766" s="137"/>
      <c r="H766" s="137"/>
      <c r="I766" s="137"/>
      <c r="J766" s="138"/>
    </row>
    <row r="767" spans="3:10" ht="20.25" customHeight="1">
      <c r="C767" s="207"/>
      <c r="D767" s="60">
        <v>759</v>
      </c>
      <c r="E767" s="136"/>
      <c r="F767" s="137"/>
      <c r="G767" s="137"/>
      <c r="H767" s="137"/>
      <c r="I767" s="137"/>
      <c r="J767" s="138"/>
    </row>
    <row r="768" spans="3:10" ht="20.25" customHeight="1">
      <c r="C768" s="207"/>
      <c r="D768" s="60">
        <v>760</v>
      </c>
      <c r="E768" s="136"/>
      <c r="F768" s="137"/>
      <c r="G768" s="137"/>
      <c r="H768" s="137"/>
      <c r="I768" s="137"/>
      <c r="J768" s="138"/>
    </row>
    <row r="769" spans="3:10" ht="20.25" customHeight="1">
      <c r="C769" s="207"/>
      <c r="D769" s="60">
        <v>761</v>
      </c>
      <c r="E769" s="136"/>
      <c r="F769" s="137"/>
      <c r="G769" s="137"/>
      <c r="H769" s="137"/>
      <c r="I769" s="137"/>
      <c r="J769" s="138"/>
    </row>
    <row r="770" spans="3:10" ht="20.25" customHeight="1">
      <c r="C770" s="207"/>
      <c r="D770" s="60">
        <v>762</v>
      </c>
      <c r="E770" s="136"/>
      <c r="F770" s="137"/>
      <c r="G770" s="137"/>
      <c r="H770" s="137"/>
      <c r="I770" s="137"/>
      <c r="J770" s="138"/>
    </row>
    <row r="771" spans="3:10" ht="20.25" customHeight="1">
      <c r="C771" s="207"/>
      <c r="D771" s="60">
        <v>763</v>
      </c>
      <c r="E771" s="136"/>
      <c r="F771" s="137"/>
      <c r="G771" s="137"/>
      <c r="H771" s="137"/>
      <c r="I771" s="137"/>
      <c r="J771" s="138"/>
    </row>
    <row r="772" spans="3:10" ht="20.25" customHeight="1">
      <c r="C772" s="207"/>
      <c r="D772" s="60">
        <v>764</v>
      </c>
      <c r="E772" s="136"/>
      <c r="F772" s="137"/>
      <c r="G772" s="137"/>
      <c r="H772" s="137"/>
      <c r="I772" s="137"/>
      <c r="J772" s="138"/>
    </row>
    <row r="773" spans="3:10" ht="20.25" customHeight="1">
      <c r="C773" s="207"/>
      <c r="D773" s="60">
        <v>765</v>
      </c>
      <c r="E773" s="136"/>
      <c r="F773" s="137"/>
      <c r="G773" s="137"/>
      <c r="H773" s="137"/>
      <c r="I773" s="137"/>
      <c r="J773" s="138"/>
    </row>
    <row r="774" spans="3:10" ht="20.25" customHeight="1">
      <c r="C774" s="207"/>
      <c r="D774" s="60">
        <v>766</v>
      </c>
      <c r="E774" s="136"/>
      <c r="F774" s="137"/>
      <c r="G774" s="137"/>
      <c r="H774" s="137"/>
      <c r="I774" s="137"/>
      <c r="J774" s="138"/>
    </row>
    <row r="775" spans="3:10" ht="20.25" customHeight="1">
      <c r="C775" s="207"/>
      <c r="D775" s="60">
        <v>767</v>
      </c>
      <c r="E775" s="136"/>
      <c r="F775" s="137"/>
      <c r="G775" s="137"/>
      <c r="H775" s="137"/>
      <c r="I775" s="137"/>
      <c r="J775" s="138"/>
    </row>
    <row r="776" spans="3:10" ht="20.25" customHeight="1">
      <c r="C776" s="207"/>
      <c r="D776" s="60">
        <v>768</v>
      </c>
      <c r="E776" s="136"/>
      <c r="F776" s="137"/>
      <c r="G776" s="137"/>
      <c r="H776" s="137"/>
      <c r="I776" s="137"/>
      <c r="J776" s="138"/>
    </row>
    <row r="777" spans="3:10" ht="20.25" customHeight="1">
      <c r="C777" s="207"/>
      <c r="D777" s="60">
        <v>769</v>
      </c>
      <c r="E777" s="136"/>
      <c r="F777" s="137"/>
      <c r="G777" s="137"/>
      <c r="H777" s="137"/>
      <c r="I777" s="137"/>
      <c r="J777" s="138"/>
    </row>
    <row r="778" spans="3:10" ht="20.25" customHeight="1">
      <c r="C778" s="207"/>
      <c r="D778" s="60">
        <v>770</v>
      </c>
      <c r="E778" s="136"/>
      <c r="F778" s="137"/>
      <c r="G778" s="137"/>
      <c r="H778" s="137"/>
      <c r="I778" s="137"/>
      <c r="J778" s="138"/>
    </row>
    <row r="779" spans="3:10" ht="20.25" customHeight="1">
      <c r="C779" s="207"/>
      <c r="D779" s="60">
        <v>771</v>
      </c>
      <c r="E779" s="136"/>
      <c r="F779" s="137"/>
      <c r="G779" s="137"/>
      <c r="H779" s="137"/>
      <c r="I779" s="137"/>
      <c r="J779" s="138"/>
    </row>
    <row r="780" spans="3:10" ht="20.25" customHeight="1">
      <c r="C780" s="207"/>
      <c r="D780" s="60">
        <v>772</v>
      </c>
      <c r="E780" s="136"/>
      <c r="F780" s="137"/>
      <c r="G780" s="137"/>
      <c r="H780" s="137"/>
      <c r="I780" s="137"/>
      <c r="J780" s="138"/>
    </row>
    <row r="781" spans="3:10" ht="20.25" customHeight="1">
      <c r="C781" s="207"/>
      <c r="D781" s="60">
        <v>773</v>
      </c>
      <c r="E781" s="136"/>
      <c r="F781" s="137"/>
      <c r="G781" s="137"/>
      <c r="H781" s="137"/>
      <c r="I781" s="137"/>
      <c r="J781" s="138"/>
    </row>
    <row r="782" spans="3:10" ht="20.25" customHeight="1">
      <c r="C782" s="207"/>
      <c r="D782" s="60">
        <v>774</v>
      </c>
      <c r="E782" s="136"/>
      <c r="F782" s="137"/>
      <c r="G782" s="137"/>
      <c r="H782" s="137"/>
      <c r="I782" s="137"/>
      <c r="J782" s="138"/>
    </row>
    <row r="783" spans="3:10" ht="20.25" customHeight="1">
      <c r="C783" s="207"/>
      <c r="D783" s="60">
        <v>775</v>
      </c>
      <c r="E783" s="136"/>
      <c r="F783" s="137"/>
      <c r="G783" s="137"/>
      <c r="H783" s="137"/>
      <c r="I783" s="137"/>
      <c r="J783" s="138"/>
    </row>
    <row r="784" spans="3:10" ht="20.25" customHeight="1">
      <c r="C784" s="207"/>
      <c r="D784" s="60">
        <v>776</v>
      </c>
      <c r="E784" s="136"/>
      <c r="F784" s="137"/>
      <c r="G784" s="137"/>
      <c r="H784" s="137"/>
      <c r="I784" s="137"/>
      <c r="J784" s="138"/>
    </row>
    <row r="785" spans="3:10" ht="20.25" customHeight="1">
      <c r="C785" s="207"/>
      <c r="D785" s="60">
        <v>777</v>
      </c>
      <c r="E785" s="136"/>
      <c r="F785" s="137"/>
      <c r="G785" s="137"/>
      <c r="H785" s="137"/>
      <c r="I785" s="137"/>
      <c r="J785" s="138"/>
    </row>
    <row r="786" spans="3:10" ht="20.25" customHeight="1">
      <c r="C786" s="207"/>
      <c r="D786" s="60">
        <v>778</v>
      </c>
      <c r="E786" s="136"/>
      <c r="F786" s="137"/>
      <c r="G786" s="137"/>
      <c r="H786" s="137"/>
      <c r="I786" s="137"/>
      <c r="J786" s="138"/>
    </row>
    <row r="787" spans="3:10" ht="20.25" customHeight="1">
      <c r="C787" s="207"/>
      <c r="D787" s="60">
        <v>779</v>
      </c>
      <c r="E787" s="136"/>
      <c r="F787" s="137"/>
      <c r="G787" s="137"/>
      <c r="H787" s="137"/>
      <c r="I787" s="137"/>
      <c r="J787" s="138"/>
    </row>
    <row r="788" spans="3:10" ht="20.25" customHeight="1">
      <c r="C788" s="207"/>
      <c r="D788" s="60">
        <v>780</v>
      </c>
      <c r="E788" s="136"/>
      <c r="F788" s="137"/>
      <c r="G788" s="137"/>
      <c r="H788" s="137"/>
      <c r="I788" s="137"/>
      <c r="J788" s="138"/>
    </row>
    <row r="789" spans="3:10" ht="20.25" customHeight="1">
      <c r="C789" s="207"/>
      <c r="D789" s="60">
        <v>781</v>
      </c>
      <c r="E789" s="136"/>
      <c r="F789" s="137"/>
      <c r="G789" s="137"/>
      <c r="H789" s="137"/>
      <c r="I789" s="137"/>
      <c r="J789" s="138"/>
    </row>
    <row r="790" spans="3:10" ht="20.25" customHeight="1">
      <c r="C790" s="207"/>
      <c r="D790" s="60">
        <v>782</v>
      </c>
      <c r="E790" s="136"/>
      <c r="F790" s="137"/>
      <c r="G790" s="137"/>
      <c r="H790" s="137"/>
      <c r="I790" s="137"/>
      <c r="J790" s="138"/>
    </row>
    <row r="791" spans="3:10" ht="20.25" customHeight="1">
      <c r="C791" s="207"/>
      <c r="D791" s="60">
        <v>783</v>
      </c>
      <c r="E791" s="136"/>
      <c r="F791" s="137"/>
      <c r="G791" s="137"/>
      <c r="H791" s="137"/>
      <c r="I791" s="137"/>
      <c r="J791" s="138"/>
    </row>
    <row r="792" spans="3:10" ht="20.25" customHeight="1">
      <c r="C792" s="207"/>
      <c r="D792" s="60">
        <v>784</v>
      </c>
      <c r="E792" s="136"/>
      <c r="F792" s="137"/>
      <c r="G792" s="137"/>
      <c r="H792" s="137"/>
      <c r="I792" s="137"/>
      <c r="J792" s="138"/>
    </row>
    <row r="793" spans="3:10" ht="20.25" customHeight="1">
      <c r="C793" s="207"/>
      <c r="D793" s="60">
        <v>785</v>
      </c>
      <c r="E793" s="136"/>
      <c r="F793" s="137"/>
      <c r="G793" s="137"/>
      <c r="H793" s="137"/>
      <c r="I793" s="137"/>
      <c r="J793" s="138"/>
    </row>
    <row r="794" spans="3:10" ht="20.25" customHeight="1">
      <c r="C794" s="207"/>
      <c r="D794" s="60">
        <v>786</v>
      </c>
      <c r="E794" s="136"/>
      <c r="F794" s="137"/>
      <c r="G794" s="137"/>
      <c r="H794" s="137"/>
      <c r="I794" s="137"/>
      <c r="J794" s="138"/>
    </row>
    <row r="795" spans="3:10" ht="20.25" customHeight="1">
      <c r="C795" s="207"/>
      <c r="D795" s="60">
        <v>787</v>
      </c>
      <c r="E795" s="136"/>
      <c r="F795" s="137"/>
      <c r="G795" s="137"/>
      <c r="H795" s="137"/>
      <c r="I795" s="137"/>
      <c r="J795" s="138"/>
    </row>
    <row r="796" spans="3:10" ht="20.25" customHeight="1">
      <c r="C796" s="207"/>
      <c r="D796" s="60">
        <v>788</v>
      </c>
      <c r="E796" s="136"/>
      <c r="F796" s="137"/>
      <c r="G796" s="137"/>
      <c r="H796" s="137"/>
      <c r="I796" s="137"/>
      <c r="J796" s="138"/>
    </row>
    <row r="797" spans="3:10" ht="20.25" customHeight="1">
      <c r="C797" s="207"/>
      <c r="D797" s="60">
        <v>789</v>
      </c>
      <c r="E797" s="136"/>
      <c r="F797" s="137"/>
      <c r="G797" s="137"/>
      <c r="H797" s="137"/>
      <c r="I797" s="137"/>
      <c r="J797" s="138"/>
    </row>
    <row r="798" spans="3:10" ht="20.25" customHeight="1">
      <c r="C798" s="207"/>
      <c r="D798" s="60">
        <v>790</v>
      </c>
      <c r="E798" s="136"/>
      <c r="F798" s="137"/>
      <c r="G798" s="137"/>
      <c r="H798" s="137"/>
      <c r="I798" s="137"/>
      <c r="J798" s="138"/>
    </row>
    <row r="799" spans="3:10" ht="20.25" customHeight="1">
      <c r="C799" s="207"/>
      <c r="D799" s="60">
        <v>791</v>
      </c>
      <c r="E799" s="136"/>
      <c r="F799" s="137"/>
      <c r="G799" s="137"/>
      <c r="H799" s="137"/>
      <c r="I799" s="137"/>
      <c r="J799" s="138"/>
    </row>
    <row r="800" spans="3:10" ht="20.25" customHeight="1">
      <c r="C800" s="207"/>
      <c r="D800" s="60">
        <v>792</v>
      </c>
      <c r="E800" s="136"/>
      <c r="F800" s="137"/>
      <c r="G800" s="137"/>
      <c r="H800" s="137"/>
      <c r="I800" s="137"/>
      <c r="J800" s="138"/>
    </row>
    <row r="801" spans="3:10" ht="20.25" customHeight="1">
      <c r="C801" s="207"/>
      <c r="D801" s="60">
        <v>793</v>
      </c>
      <c r="E801" s="136"/>
      <c r="F801" s="137"/>
      <c r="G801" s="137"/>
      <c r="H801" s="137"/>
      <c r="I801" s="137"/>
      <c r="J801" s="138"/>
    </row>
    <row r="802" spans="3:10" ht="20.25" customHeight="1">
      <c r="C802" s="207"/>
      <c r="D802" s="60">
        <v>794</v>
      </c>
      <c r="E802" s="136"/>
      <c r="F802" s="137"/>
      <c r="G802" s="137"/>
      <c r="H802" s="137"/>
      <c r="I802" s="137"/>
      <c r="J802" s="138"/>
    </row>
    <row r="803" spans="3:10" ht="20.25" customHeight="1">
      <c r="C803" s="207"/>
      <c r="D803" s="60">
        <v>795</v>
      </c>
      <c r="E803" s="136"/>
      <c r="F803" s="137"/>
      <c r="G803" s="137"/>
      <c r="H803" s="137"/>
      <c r="I803" s="137"/>
      <c r="J803" s="138"/>
    </row>
    <row r="804" spans="3:10" ht="20.25" customHeight="1">
      <c r="C804" s="207"/>
      <c r="D804" s="60">
        <v>796</v>
      </c>
      <c r="E804" s="136"/>
      <c r="F804" s="137"/>
      <c r="G804" s="137"/>
      <c r="H804" s="137"/>
      <c r="I804" s="137"/>
      <c r="J804" s="138"/>
    </row>
    <row r="805" spans="3:10" ht="20.25" customHeight="1">
      <c r="C805" s="207"/>
      <c r="D805" s="60">
        <v>797</v>
      </c>
      <c r="E805" s="136"/>
      <c r="F805" s="137"/>
      <c r="G805" s="137"/>
      <c r="H805" s="137"/>
      <c r="I805" s="137"/>
      <c r="J805" s="138"/>
    </row>
    <row r="806" spans="3:10" ht="20.25" customHeight="1">
      <c r="C806" s="207"/>
      <c r="D806" s="60">
        <v>798</v>
      </c>
      <c r="E806" s="136"/>
      <c r="F806" s="137"/>
      <c r="G806" s="137"/>
      <c r="H806" s="137"/>
      <c r="I806" s="137"/>
      <c r="J806" s="138"/>
    </row>
    <row r="807" spans="3:10" ht="20.25" customHeight="1">
      <c r="C807" s="207"/>
      <c r="D807" s="60">
        <v>799</v>
      </c>
      <c r="E807" s="136"/>
      <c r="F807" s="137"/>
      <c r="G807" s="137"/>
      <c r="H807" s="137"/>
      <c r="I807" s="137"/>
      <c r="J807" s="138"/>
    </row>
    <row r="808" spans="3:10" ht="20.25" customHeight="1">
      <c r="C808" s="207"/>
      <c r="D808" s="60">
        <v>800</v>
      </c>
      <c r="E808" s="136"/>
      <c r="F808" s="137"/>
      <c r="G808" s="137"/>
      <c r="H808" s="137"/>
      <c r="I808" s="137"/>
      <c r="J808" s="138"/>
    </row>
    <row r="809" spans="3:10" ht="20.25" customHeight="1">
      <c r="C809" s="207"/>
      <c r="D809" s="60">
        <v>801</v>
      </c>
      <c r="E809" s="136"/>
      <c r="F809" s="137"/>
      <c r="G809" s="137"/>
      <c r="H809" s="137"/>
      <c r="I809" s="137"/>
      <c r="J809" s="138"/>
    </row>
    <row r="810" spans="3:10" ht="20.25" customHeight="1">
      <c r="C810" s="207"/>
      <c r="D810" s="60">
        <v>802</v>
      </c>
      <c r="E810" s="136"/>
      <c r="F810" s="137"/>
      <c r="G810" s="137"/>
      <c r="H810" s="137"/>
      <c r="I810" s="137"/>
      <c r="J810" s="138"/>
    </row>
    <row r="811" spans="3:10" ht="20.25" customHeight="1">
      <c r="C811" s="207"/>
      <c r="D811" s="60">
        <v>803</v>
      </c>
      <c r="E811" s="136"/>
      <c r="F811" s="137"/>
      <c r="G811" s="137"/>
      <c r="H811" s="137"/>
      <c r="I811" s="137"/>
      <c r="J811" s="138"/>
    </row>
    <row r="812" spans="3:10" ht="20.25" customHeight="1">
      <c r="C812" s="207"/>
      <c r="D812" s="60">
        <v>804</v>
      </c>
      <c r="E812" s="136"/>
      <c r="F812" s="137"/>
      <c r="G812" s="137"/>
      <c r="H812" s="137"/>
      <c r="I812" s="137"/>
      <c r="J812" s="138"/>
    </row>
    <row r="813" spans="3:10" ht="20.25" customHeight="1">
      <c r="C813" s="207"/>
      <c r="D813" s="60">
        <v>805</v>
      </c>
      <c r="E813" s="136"/>
      <c r="F813" s="137"/>
      <c r="G813" s="137"/>
      <c r="H813" s="137"/>
      <c r="I813" s="137"/>
      <c r="J813" s="138"/>
    </row>
    <row r="814" spans="3:10" ht="20.25" customHeight="1">
      <c r="C814" s="207"/>
      <c r="D814" s="60">
        <v>806</v>
      </c>
      <c r="E814" s="136"/>
      <c r="F814" s="137"/>
      <c r="G814" s="137"/>
      <c r="H814" s="137"/>
      <c r="I814" s="137"/>
      <c r="J814" s="138"/>
    </row>
    <row r="815" spans="3:10" ht="20.25" customHeight="1">
      <c r="C815" s="207"/>
      <c r="D815" s="60">
        <v>807</v>
      </c>
      <c r="E815" s="136"/>
      <c r="F815" s="137"/>
      <c r="G815" s="137"/>
      <c r="H815" s="137"/>
      <c r="I815" s="137"/>
      <c r="J815" s="138"/>
    </row>
    <row r="816" spans="3:10" ht="20.25" customHeight="1">
      <c r="C816" s="207"/>
      <c r="D816" s="60">
        <v>808</v>
      </c>
      <c r="E816" s="136"/>
      <c r="F816" s="137"/>
      <c r="G816" s="137"/>
      <c r="H816" s="137"/>
      <c r="I816" s="137"/>
      <c r="J816" s="138"/>
    </row>
    <row r="817" spans="3:10" ht="20.25" customHeight="1">
      <c r="C817" s="207"/>
      <c r="D817" s="60">
        <v>809</v>
      </c>
      <c r="E817" s="136"/>
      <c r="F817" s="137"/>
      <c r="G817" s="137"/>
      <c r="H817" s="137"/>
      <c r="I817" s="137"/>
      <c r="J817" s="138"/>
    </row>
    <row r="818" spans="3:10" ht="20.25" customHeight="1">
      <c r="C818" s="207"/>
      <c r="D818" s="60">
        <v>810</v>
      </c>
      <c r="E818" s="136"/>
      <c r="F818" s="137"/>
      <c r="G818" s="137"/>
      <c r="H818" s="137"/>
      <c r="I818" s="137"/>
      <c r="J818" s="138"/>
    </row>
    <row r="819" spans="3:10" ht="20.25" customHeight="1">
      <c r="C819" s="207"/>
      <c r="D819" s="60">
        <v>811</v>
      </c>
      <c r="E819" s="136"/>
      <c r="F819" s="137"/>
      <c r="G819" s="137"/>
      <c r="H819" s="137"/>
      <c r="I819" s="137"/>
      <c r="J819" s="138"/>
    </row>
    <row r="820" spans="3:10" ht="20.25" customHeight="1">
      <c r="C820" s="207"/>
      <c r="D820" s="60">
        <v>812</v>
      </c>
      <c r="E820" s="136"/>
      <c r="F820" s="137"/>
      <c r="G820" s="137"/>
      <c r="H820" s="137"/>
      <c r="I820" s="137"/>
      <c r="J820" s="138"/>
    </row>
    <row r="821" spans="3:10" ht="20.25" customHeight="1">
      <c r="C821" s="207"/>
      <c r="D821" s="60">
        <v>813</v>
      </c>
      <c r="E821" s="136"/>
      <c r="F821" s="137"/>
      <c r="G821" s="137"/>
      <c r="H821" s="137"/>
      <c r="I821" s="137"/>
      <c r="J821" s="138"/>
    </row>
    <row r="822" spans="3:10" ht="20.25" customHeight="1">
      <c r="C822" s="207"/>
      <c r="D822" s="60">
        <v>814</v>
      </c>
      <c r="E822" s="136"/>
      <c r="F822" s="137"/>
      <c r="G822" s="137"/>
      <c r="H822" s="137"/>
      <c r="I822" s="137"/>
      <c r="J822" s="138"/>
    </row>
    <row r="823" spans="3:10" ht="20.25" customHeight="1">
      <c r="C823" s="207"/>
      <c r="D823" s="60">
        <v>815</v>
      </c>
      <c r="E823" s="136"/>
      <c r="F823" s="137"/>
      <c r="G823" s="137"/>
      <c r="H823" s="137"/>
      <c r="I823" s="137"/>
      <c r="J823" s="138"/>
    </row>
    <row r="824" spans="3:10" ht="20.25" customHeight="1">
      <c r="C824" s="207"/>
      <c r="D824" s="60">
        <v>816</v>
      </c>
      <c r="E824" s="136"/>
      <c r="F824" s="137"/>
      <c r="G824" s="137"/>
      <c r="H824" s="137"/>
      <c r="I824" s="137"/>
      <c r="J824" s="138"/>
    </row>
    <row r="825" spans="3:10" ht="20.25" customHeight="1">
      <c r="C825" s="207"/>
      <c r="D825" s="60">
        <v>817</v>
      </c>
      <c r="E825" s="136"/>
      <c r="F825" s="137"/>
      <c r="G825" s="137"/>
      <c r="H825" s="137"/>
      <c r="I825" s="137"/>
      <c r="J825" s="138"/>
    </row>
    <row r="826" spans="3:10" ht="20.25" customHeight="1">
      <c r="C826" s="207"/>
      <c r="D826" s="60">
        <v>818</v>
      </c>
      <c r="E826" s="136"/>
      <c r="F826" s="137"/>
      <c r="G826" s="137"/>
      <c r="H826" s="137"/>
      <c r="I826" s="137"/>
      <c r="J826" s="138"/>
    </row>
    <row r="827" spans="3:10" ht="20.25" customHeight="1">
      <c r="C827" s="207"/>
      <c r="D827" s="60">
        <v>819</v>
      </c>
      <c r="E827" s="136"/>
      <c r="F827" s="137"/>
      <c r="G827" s="137"/>
      <c r="H827" s="137"/>
      <c r="I827" s="137"/>
      <c r="J827" s="138"/>
    </row>
    <row r="828" spans="3:10" ht="20.25" customHeight="1">
      <c r="C828" s="207"/>
      <c r="D828" s="60">
        <v>820</v>
      </c>
      <c r="E828" s="136"/>
      <c r="F828" s="137"/>
      <c r="G828" s="137"/>
      <c r="H828" s="137"/>
      <c r="I828" s="137"/>
      <c r="J828" s="138"/>
    </row>
    <row r="829" spans="3:10" ht="20.25" customHeight="1">
      <c r="C829" s="207"/>
      <c r="D829" s="60">
        <v>821</v>
      </c>
      <c r="E829" s="136"/>
      <c r="F829" s="137"/>
      <c r="G829" s="137"/>
      <c r="H829" s="137"/>
      <c r="I829" s="137"/>
      <c r="J829" s="138"/>
    </row>
    <row r="830" spans="3:10" ht="20.25" customHeight="1">
      <c r="C830" s="207"/>
      <c r="D830" s="60">
        <v>822</v>
      </c>
      <c r="E830" s="136"/>
      <c r="F830" s="137"/>
      <c r="G830" s="137"/>
      <c r="H830" s="137"/>
      <c r="I830" s="137"/>
      <c r="J830" s="138"/>
    </row>
    <row r="831" spans="3:10" ht="20.25" customHeight="1">
      <c r="C831" s="207"/>
      <c r="D831" s="60">
        <v>823</v>
      </c>
      <c r="E831" s="136"/>
      <c r="F831" s="137"/>
      <c r="G831" s="137"/>
      <c r="H831" s="137"/>
      <c r="I831" s="137"/>
      <c r="J831" s="138"/>
    </row>
    <row r="832" spans="3:10" ht="20.25" customHeight="1">
      <c r="C832" s="207"/>
      <c r="D832" s="60">
        <v>824</v>
      </c>
      <c r="E832" s="136"/>
      <c r="F832" s="137"/>
      <c r="G832" s="137"/>
      <c r="H832" s="137"/>
      <c r="I832" s="137"/>
      <c r="J832" s="138"/>
    </row>
    <row r="833" spans="3:10" ht="20.25" customHeight="1">
      <c r="C833" s="207"/>
      <c r="D833" s="60">
        <v>825</v>
      </c>
      <c r="E833" s="136"/>
      <c r="F833" s="137"/>
      <c r="G833" s="137"/>
      <c r="H833" s="137"/>
      <c r="I833" s="137"/>
      <c r="J833" s="138"/>
    </row>
    <row r="834" spans="3:10" ht="20.25" customHeight="1">
      <c r="C834" s="207"/>
      <c r="D834" s="60">
        <v>826</v>
      </c>
      <c r="E834" s="136"/>
      <c r="F834" s="137"/>
      <c r="G834" s="137"/>
      <c r="H834" s="137"/>
      <c r="I834" s="137"/>
      <c r="J834" s="138"/>
    </row>
    <row r="835" spans="3:10" ht="20.25" customHeight="1">
      <c r="C835" s="207"/>
      <c r="D835" s="60">
        <v>827</v>
      </c>
      <c r="E835" s="136"/>
      <c r="F835" s="137"/>
      <c r="G835" s="137"/>
      <c r="H835" s="137"/>
      <c r="I835" s="137"/>
      <c r="J835" s="138"/>
    </row>
    <row r="836" spans="3:10" ht="20.25" customHeight="1">
      <c r="C836" s="207"/>
      <c r="D836" s="60">
        <v>828</v>
      </c>
      <c r="E836" s="136"/>
      <c r="F836" s="137"/>
      <c r="G836" s="137"/>
      <c r="H836" s="137"/>
      <c r="I836" s="137"/>
      <c r="J836" s="138"/>
    </row>
    <row r="837" spans="3:10" ht="20.25" customHeight="1">
      <c r="C837" s="207"/>
      <c r="D837" s="60">
        <v>829</v>
      </c>
      <c r="E837" s="136"/>
      <c r="F837" s="137"/>
      <c r="G837" s="137"/>
      <c r="H837" s="137"/>
      <c r="I837" s="137"/>
      <c r="J837" s="138"/>
    </row>
    <row r="838" spans="3:10" ht="20.25" customHeight="1">
      <c r="C838" s="207"/>
      <c r="D838" s="60">
        <v>830</v>
      </c>
      <c r="E838" s="136"/>
      <c r="F838" s="137"/>
      <c r="G838" s="137"/>
      <c r="H838" s="137"/>
      <c r="I838" s="137"/>
      <c r="J838" s="138"/>
    </row>
    <row r="839" spans="3:10" ht="20.25" customHeight="1">
      <c r="C839" s="207"/>
      <c r="D839" s="60">
        <v>831</v>
      </c>
      <c r="E839" s="136"/>
      <c r="F839" s="137"/>
      <c r="G839" s="137"/>
      <c r="H839" s="137"/>
      <c r="I839" s="137"/>
      <c r="J839" s="138"/>
    </row>
    <row r="840" spans="3:10" ht="20.25" customHeight="1">
      <c r="C840" s="207"/>
      <c r="D840" s="60">
        <v>832</v>
      </c>
      <c r="E840" s="136"/>
      <c r="F840" s="137"/>
      <c r="G840" s="137"/>
      <c r="H840" s="137"/>
      <c r="I840" s="137"/>
      <c r="J840" s="138"/>
    </row>
    <row r="841" spans="3:10" ht="20.25" customHeight="1">
      <c r="C841" s="207"/>
      <c r="D841" s="60">
        <v>833</v>
      </c>
      <c r="E841" s="136"/>
      <c r="F841" s="137"/>
      <c r="G841" s="137"/>
      <c r="H841" s="137"/>
      <c r="I841" s="137"/>
      <c r="J841" s="138"/>
    </row>
    <row r="842" spans="3:10" ht="20.25" customHeight="1">
      <c r="C842" s="207"/>
      <c r="D842" s="60">
        <v>834</v>
      </c>
      <c r="E842" s="136"/>
      <c r="F842" s="137"/>
      <c r="G842" s="137"/>
      <c r="H842" s="137"/>
      <c r="I842" s="137"/>
      <c r="J842" s="138"/>
    </row>
    <row r="843" spans="3:10" ht="20.25" customHeight="1">
      <c r="C843" s="207"/>
      <c r="D843" s="60">
        <v>835</v>
      </c>
      <c r="E843" s="136"/>
      <c r="F843" s="137"/>
      <c r="G843" s="137"/>
      <c r="H843" s="137"/>
      <c r="I843" s="137"/>
      <c r="J843" s="138"/>
    </row>
    <row r="844" spans="3:10" ht="20.25" customHeight="1">
      <c r="C844" s="207"/>
      <c r="D844" s="60">
        <v>836</v>
      </c>
      <c r="E844" s="136"/>
      <c r="F844" s="137"/>
      <c r="G844" s="137"/>
      <c r="H844" s="137"/>
      <c r="I844" s="137"/>
      <c r="J844" s="138"/>
    </row>
    <row r="845" spans="3:10" ht="20.25" customHeight="1">
      <c r="C845" s="207"/>
      <c r="D845" s="60">
        <v>837</v>
      </c>
      <c r="E845" s="136"/>
      <c r="F845" s="137"/>
      <c r="G845" s="137"/>
      <c r="H845" s="137"/>
      <c r="I845" s="137"/>
      <c r="J845" s="138"/>
    </row>
    <row r="846" spans="3:10" ht="20.25" customHeight="1">
      <c r="C846" s="207"/>
      <c r="D846" s="60">
        <v>838</v>
      </c>
      <c r="E846" s="136"/>
      <c r="F846" s="137"/>
      <c r="G846" s="137"/>
      <c r="H846" s="137"/>
      <c r="I846" s="137"/>
      <c r="J846" s="138"/>
    </row>
    <row r="847" spans="3:10" ht="20.25" customHeight="1">
      <c r="C847" s="207"/>
      <c r="D847" s="60">
        <v>839</v>
      </c>
      <c r="E847" s="136"/>
      <c r="F847" s="137"/>
      <c r="G847" s="137"/>
      <c r="H847" s="137"/>
      <c r="I847" s="137"/>
      <c r="J847" s="138"/>
    </row>
    <row r="848" spans="3:10" ht="20.25" customHeight="1">
      <c r="C848" s="207"/>
      <c r="D848" s="60">
        <v>840</v>
      </c>
      <c r="E848" s="136"/>
      <c r="F848" s="137"/>
      <c r="G848" s="137"/>
      <c r="H848" s="137"/>
      <c r="I848" s="137"/>
      <c r="J848" s="138"/>
    </row>
    <row r="849" spans="3:10" ht="20.25" customHeight="1">
      <c r="C849" s="207"/>
      <c r="D849" s="60">
        <v>841</v>
      </c>
      <c r="E849" s="136"/>
      <c r="F849" s="137"/>
      <c r="G849" s="137"/>
      <c r="H849" s="137"/>
      <c r="I849" s="137"/>
      <c r="J849" s="138"/>
    </row>
    <row r="850" spans="3:10" ht="20.25" customHeight="1">
      <c r="C850" s="207"/>
      <c r="D850" s="60">
        <v>842</v>
      </c>
      <c r="E850" s="136"/>
      <c r="F850" s="137"/>
      <c r="G850" s="137"/>
      <c r="H850" s="137"/>
      <c r="I850" s="137"/>
      <c r="J850" s="138"/>
    </row>
    <row r="851" spans="3:10" ht="20.25" customHeight="1">
      <c r="C851" s="207"/>
      <c r="D851" s="60">
        <v>843</v>
      </c>
      <c r="E851" s="136"/>
      <c r="F851" s="137"/>
      <c r="G851" s="137"/>
      <c r="H851" s="137"/>
      <c r="I851" s="137"/>
      <c r="J851" s="138"/>
    </row>
    <row r="852" spans="3:10" ht="20.25" customHeight="1">
      <c r="C852" s="207"/>
      <c r="D852" s="60">
        <v>844</v>
      </c>
      <c r="E852" s="136"/>
      <c r="F852" s="137"/>
      <c r="G852" s="137"/>
      <c r="H852" s="137"/>
      <c r="I852" s="137"/>
      <c r="J852" s="138"/>
    </row>
    <row r="853" spans="3:10" ht="20.25" customHeight="1">
      <c r="C853" s="207"/>
      <c r="D853" s="60">
        <v>845</v>
      </c>
      <c r="E853" s="136"/>
      <c r="F853" s="137"/>
      <c r="G853" s="137"/>
      <c r="H853" s="137"/>
      <c r="I853" s="137"/>
      <c r="J853" s="138"/>
    </row>
    <row r="854" spans="3:10" ht="20.25" customHeight="1">
      <c r="C854" s="207"/>
      <c r="D854" s="60">
        <v>846</v>
      </c>
      <c r="E854" s="136"/>
      <c r="F854" s="137"/>
      <c r="G854" s="137"/>
      <c r="H854" s="137"/>
      <c r="I854" s="137"/>
      <c r="J854" s="138"/>
    </row>
    <row r="855" spans="3:10" ht="20.25" customHeight="1">
      <c r="C855" s="207"/>
      <c r="D855" s="60">
        <v>847</v>
      </c>
      <c r="E855" s="136"/>
      <c r="F855" s="137"/>
      <c r="G855" s="137"/>
      <c r="H855" s="137"/>
      <c r="I855" s="137"/>
      <c r="J855" s="138"/>
    </row>
    <row r="856" spans="3:10" ht="20.25" customHeight="1">
      <c r="C856" s="207"/>
      <c r="D856" s="60">
        <v>848</v>
      </c>
      <c r="E856" s="136"/>
      <c r="F856" s="137"/>
      <c r="G856" s="137"/>
      <c r="H856" s="137"/>
      <c r="I856" s="137"/>
      <c r="J856" s="138"/>
    </row>
    <row r="857" spans="3:10" ht="20.25" customHeight="1">
      <c r="C857" s="207"/>
      <c r="D857" s="60">
        <v>849</v>
      </c>
      <c r="E857" s="136"/>
      <c r="F857" s="137"/>
      <c r="G857" s="137"/>
      <c r="H857" s="137"/>
      <c r="I857" s="137"/>
      <c r="J857" s="138"/>
    </row>
    <row r="858" spans="3:10" ht="20.25" customHeight="1">
      <c r="C858" s="207"/>
      <c r="D858" s="60">
        <v>850</v>
      </c>
      <c r="E858" s="136"/>
      <c r="F858" s="137"/>
      <c r="G858" s="137"/>
      <c r="H858" s="137"/>
      <c r="I858" s="137"/>
      <c r="J858" s="138"/>
    </row>
    <row r="859" spans="3:10" ht="20.25" customHeight="1">
      <c r="C859" s="207"/>
      <c r="D859" s="60">
        <v>851</v>
      </c>
      <c r="E859" s="136"/>
      <c r="F859" s="137"/>
      <c r="G859" s="137"/>
      <c r="H859" s="137"/>
      <c r="I859" s="137"/>
      <c r="J859" s="138"/>
    </row>
    <row r="860" spans="3:10" ht="20.25" customHeight="1">
      <c r="C860" s="207"/>
      <c r="D860" s="60">
        <v>852</v>
      </c>
      <c r="E860" s="136"/>
      <c r="F860" s="137"/>
      <c r="G860" s="137"/>
      <c r="H860" s="137"/>
      <c r="I860" s="137"/>
      <c r="J860" s="138"/>
    </row>
    <row r="861" spans="3:10" ht="20.25" customHeight="1">
      <c r="C861" s="207"/>
      <c r="D861" s="60">
        <v>853</v>
      </c>
      <c r="E861" s="136"/>
      <c r="F861" s="137"/>
      <c r="G861" s="137"/>
      <c r="H861" s="137"/>
      <c r="I861" s="137"/>
      <c r="J861" s="138"/>
    </row>
    <row r="862" spans="3:10" ht="20.25" customHeight="1">
      <c r="C862" s="207"/>
      <c r="D862" s="60">
        <v>854</v>
      </c>
      <c r="E862" s="136"/>
      <c r="F862" s="137"/>
      <c r="G862" s="137"/>
      <c r="H862" s="137"/>
      <c r="I862" s="137"/>
      <c r="J862" s="138"/>
    </row>
    <row r="863" spans="3:10" ht="20.25" customHeight="1">
      <c r="C863" s="207"/>
      <c r="D863" s="60">
        <v>855</v>
      </c>
      <c r="E863" s="136"/>
      <c r="F863" s="137"/>
      <c r="G863" s="137"/>
      <c r="H863" s="137"/>
      <c r="I863" s="137"/>
      <c r="J863" s="138"/>
    </row>
    <row r="864" spans="3:10" ht="20.25" customHeight="1">
      <c r="C864" s="207"/>
      <c r="D864" s="60">
        <v>856</v>
      </c>
      <c r="E864" s="136"/>
      <c r="F864" s="137"/>
      <c r="G864" s="137"/>
      <c r="H864" s="137"/>
      <c r="I864" s="137"/>
      <c r="J864" s="138"/>
    </row>
    <row r="865" spans="3:10" ht="20.25" customHeight="1">
      <c r="C865" s="207"/>
      <c r="D865" s="60">
        <v>857</v>
      </c>
      <c r="E865" s="136"/>
      <c r="F865" s="137"/>
      <c r="G865" s="137"/>
      <c r="H865" s="137"/>
      <c r="I865" s="137"/>
      <c r="J865" s="138"/>
    </row>
    <row r="866" spans="3:10" ht="20.25" customHeight="1">
      <c r="C866" s="207"/>
      <c r="D866" s="60">
        <v>858</v>
      </c>
      <c r="E866" s="136"/>
      <c r="F866" s="137"/>
      <c r="G866" s="137"/>
      <c r="H866" s="137"/>
      <c r="I866" s="137"/>
      <c r="J866" s="138"/>
    </row>
    <row r="867" spans="3:10" ht="20.25" customHeight="1">
      <c r="C867" s="207"/>
      <c r="D867" s="60">
        <v>859</v>
      </c>
      <c r="E867" s="136"/>
      <c r="F867" s="137"/>
      <c r="G867" s="137"/>
      <c r="H867" s="137"/>
      <c r="I867" s="137"/>
      <c r="J867" s="138"/>
    </row>
    <row r="868" spans="3:10" ht="20.25" customHeight="1">
      <c r="C868" s="207"/>
      <c r="D868" s="60">
        <v>860</v>
      </c>
      <c r="E868" s="136"/>
      <c r="F868" s="137"/>
      <c r="G868" s="137"/>
      <c r="H868" s="137"/>
      <c r="I868" s="137"/>
      <c r="J868" s="138"/>
    </row>
    <row r="869" spans="3:10" ht="20.25" customHeight="1">
      <c r="C869" s="207"/>
      <c r="D869" s="60">
        <v>861</v>
      </c>
      <c r="E869" s="136"/>
      <c r="F869" s="137"/>
      <c r="G869" s="137"/>
      <c r="H869" s="137"/>
      <c r="I869" s="137"/>
      <c r="J869" s="138"/>
    </row>
    <row r="870" spans="3:10" ht="20.25" customHeight="1">
      <c r="C870" s="207"/>
      <c r="D870" s="60">
        <v>862</v>
      </c>
      <c r="E870" s="136"/>
      <c r="F870" s="137"/>
      <c r="G870" s="137"/>
      <c r="H870" s="137"/>
      <c r="I870" s="137"/>
      <c r="J870" s="138"/>
    </row>
    <row r="871" spans="3:10" ht="20.25" customHeight="1">
      <c r="C871" s="207"/>
      <c r="D871" s="60">
        <v>863</v>
      </c>
      <c r="E871" s="136"/>
      <c r="F871" s="137"/>
      <c r="G871" s="137"/>
      <c r="H871" s="137"/>
      <c r="I871" s="137"/>
      <c r="J871" s="138"/>
    </row>
    <row r="872" spans="3:10" ht="20.25" customHeight="1">
      <c r="C872" s="207"/>
      <c r="D872" s="60">
        <v>864</v>
      </c>
      <c r="E872" s="136"/>
      <c r="F872" s="137"/>
      <c r="G872" s="137"/>
      <c r="H872" s="137"/>
      <c r="I872" s="137"/>
      <c r="J872" s="138"/>
    </row>
    <row r="873" spans="3:10" ht="20.25" customHeight="1">
      <c r="C873" s="207"/>
      <c r="D873" s="60">
        <v>865</v>
      </c>
      <c r="E873" s="136"/>
      <c r="F873" s="137"/>
      <c r="G873" s="137"/>
      <c r="H873" s="137"/>
      <c r="I873" s="137"/>
      <c r="J873" s="138"/>
    </row>
    <row r="874" spans="3:10" ht="20.25" customHeight="1">
      <c r="C874" s="207"/>
      <c r="D874" s="60">
        <v>866</v>
      </c>
      <c r="E874" s="136"/>
      <c r="F874" s="137"/>
      <c r="G874" s="137"/>
      <c r="H874" s="137"/>
      <c r="I874" s="137"/>
      <c r="J874" s="138"/>
    </row>
    <row r="875" spans="3:10" ht="20.25" customHeight="1">
      <c r="C875" s="207"/>
      <c r="D875" s="60">
        <v>867</v>
      </c>
      <c r="E875" s="136"/>
      <c r="F875" s="137"/>
      <c r="G875" s="137"/>
      <c r="H875" s="137"/>
      <c r="I875" s="137"/>
      <c r="J875" s="138"/>
    </row>
    <row r="876" spans="3:10" ht="20.25" customHeight="1">
      <c r="C876" s="207"/>
      <c r="D876" s="60">
        <v>868</v>
      </c>
      <c r="E876" s="136"/>
      <c r="F876" s="137"/>
      <c r="G876" s="137"/>
      <c r="H876" s="137"/>
      <c r="I876" s="137"/>
      <c r="J876" s="138"/>
    </row>
    <row r="877" spans="3:10" ht="20.25" customHeight="1">
      <c r="C877" s="207"/>
      <c r="D877" s="60">
        <v>869</v>
      </c>
      <c r="E877" s="136"/>
      <c r="F877" s="137"/>
      <c r="G877" s="137"/>
      <c r="H877" s="137"/>
      <c r="I877" s="137"/>
      <c r="J877" s="138"/>
    </row>
    <row r="878" spans="3:10" ht="20.25" customHeight="1">
      <c r="C878" s="207"/>
      <c r="D878" s="60">
        <v>870</v>
      </c>
      <c r="E878" s="136"/>
      <c r="F878" s="137"/>
      <c r="G878" s="137"/>
      <c r="H878" s="137"/>
      <c r="I878" s="137"/>
      <c r="J878" s="138"/>
    </row>
    <row r="879" spans="3:10" ht="20.25" customHeight="1">
      <c r="C879" s="207"/>
      <c r="D879" s="60">
        <v>871</v>
      </c>
      <c r="E879" s="136"/>
      <c r="F879" s="137"/>
      <c r="G879" s="137"/>
      <c r="H879" s="137"/>
      <c r="I879" s="137"/>
      <c r="J879" s="138"/>
    </row>
    <row r="880" spans="3:10" ht="20.25" customHeight="1">
      <c r="C880" s="207"/>
      <c r="D880" s="60">
        <v>872</v>
      </c>
      <c r="E880" s="136"/>
      <c r="F880" s="137"/>
      <c r="G880" s="137"/>
      <c r="H880" s="137"/>
      <c r="I880" s="137"/>
      <c r="J880" s="138"/>
    </row>
    <row r="881" spans="3:10" ht="20.25" customHeight="1">
      <c r="C881" s="207"/>
      <c r="D881" s="60">
        <v>873</v>
      </c>
      <c r="E881" s="136"/>
      <c r="F881" s="137"/>
      <c r="G881" s="137"/>
      <c r="H881" s="137"/>
      <c r="I881" s="137"/>
      <c r="J881" s="138"/>
    </row>
    <row r="882" spans="3:10" ht="20.25" customHeight="1">
      <c r="C882" s="207"/>
      <c r="D882" s="60">
        <v>874</v>
      </c>
      <c r="E882" s="136"/>
      <c r="F882" s="137"/>
      <c r="G882" s="137"/>
      <c r="H882" s="137"/>
      <c r="I882" s="137"/>
      <c r="J882" s="138"/>
    </row>
    <row r="883" spans="3:10" ht="20.25" customHeight="1">
      <c r="C883" s="207"/>
      <c r="D883" s="60">
        <v>875</v>
      </c>
      <c r="E883" s="136"/>
      <c r="F883" s="137"/>
      <c r="G883" s="137"/>
      <c r="H883" s="137"/>
      <c r="I883" s="137"/>
      <c r="J883" s="138"/>
    </row>
    <row r="884" spans="3:10" ht="20.25" customHeight="1">
      <c r="C884" s="207"/>
      <c r="D884" s="60">
        <v>876</v>
      </c>
      <c r="E884" s="136"/>
      <c r="F884" s="137"/>
      <c r="G884" s="137"/>
      <c r="H884" s="137"/>
      <c r="I884" s="137"/>
      <c r="J884" s="138"/>
    </row>
    <row r="885" spans="3:10" ht="20.25" customHeight="1">
      <c r="C885" s="207"/>
      <c r="D885" s="60">
        <v>877</v>
      </c>
      <c r="E885" s="136"/>
      <c r="F885" s="137"/>
      <c r="G885" s="137"/>
      <c r="H885" s="137"/>
      <c r="I885" s="137"/>
      <c r="J885" s="138"/>
    </row>
    <row r="886" spans="3:10" ht="20.25" customHeight="1">
      <c r="C886" s="207"/>
      <c r="D886" s="60">
        <v>878</v>
      </c>
      <c r="E886" s="136"/>
      <c r="F886" s="137"/>
      <c r="G886" s="137"/>
      <c r="H886" s="137"/>
      <c r="I886" s="137"/>
      <c r="J886" s="138"/>
    </row>
    <row r="887" spans="3:10" ht="20.25" customHeight="1">
      <c r="C887" s="207"/>
      <c r="D887" s="60">
        <v>879</v>
      </c>
      <c r="E887" s="136"/>
      <c r="F887" s="137"/>
      <c r="G887" s="137"/>
      <c r="H887" s="137"/>
      <c r="I887" s="137"/>
      <c r="J887" s="138"/>
    </row>
    <row r="888" spans="3:10" ht="20.25" customHeight="1">
      <c r="C888" s="207"/>
      <c r="D888" s="60">
        <v>880</v>
      </c>
      <c r="E888" s="136"/>
      <c r="F888" s="137"/>
      <c r="G888" s="137"/>
      <c r="H888" s="137"/>
      <c r="I888" s="137"/>
      <c r="J888" s="138"/>
    </row>
    <row r="889" spans="3:10" ht="20.25" customHeight="1">
      <c r="C889" s="207"/>
      <c r="D889" s="60">
        <v>881</v>
      </c>
      <c r="E889" s="136"/>
      <c r="F889" s="137"/>
      <c r="G889" s="137"/>
      <c r="H889" s="137"/>
      <c r="I889" s="137"/>
      <c r="J889" s="138"/>
    </row>
    <row r="890" spans="3:10" ht="20.25" customHeight="1">
      <c r="C890" s="207"/>
      <c r="D890" s="60">
        <v>882</v>
      </c>
      <c r="E890" s="136"/>
      <c r="F890" s="137"/>
      <c r="G890" s="137"/>
      <c r="H890" s="137"/>
      <c r="I890" s="137"/>
      <c r="J890" s="138"/>
    </row>
    <row r="891" spans="3:10" ht="20.25" customHeight="1">
      <c r="C891" s="207"/>
      <c r="D891" s="60">
        <v>883</v>
      </c>
      <c r="E891" s="136"/>
      <c r="F891" s="137"/>
      <c r="G891" s="137"/>
      <c r="H891" s="137"/>
      <c r="I891" s="137"/>
      <c r="J891" s="138"/>
    </row>
    <row r="892" spans="3:10" ht="20.25" customHeight="1">
      <c r="C892" s="207"/>
      <c r="D892" s="60">
        <v>884</v>
      </c>
      <c r="E892" s="136"/>
      <c r="F892" s="137"/>
      <c r="G892" s="137"/>
      <c r="H892" s="137"/>
      <c r="I892" s="137"/>
      <c r="J892" s="138"/>
    </row>
    <row r="893" spans="3:10" ht="20.25" customHeight="1">
      <c r="C893" s="207"/>
      <c r="D893" s="60">
        <v>885</v>
      </c>
      <c r="E893" s="136"/>
      <c r="F893" s="137"/>
      <c r="G893" s="137"/>
      <c r="H893" s="137"/>
      <c r="I893" s="137"/>
      <c r="J893" s="138"/>
    </row>
    <row r="894" spans="3:10" ht="20.25" customHeight="1">
      <c r="C894" s="207"/>
      <c r="D894" s="60">
        <v>886</v>
      </c>
      <c r="E894" s="136"/>
      <c r="F894" s="137"/>
      <c r="G894" s="137"/>
      <c r="H894" s="137"/>
      <c r="I894" s="137"/>
      <c r="J894" s="138"/>
    </row>
    <row r="895" spans="3:10" ht="20.25" customHeight="1">
      <c r="C895" s="207"/>
      <c r="D895" s="60">
        <v>887</v>
      </c>
      <c r="E895" s="136"/>
      <c r="F895" s="137"/>
      <c r="G895" s="137"/>
      <c r="H895" s="137"/>
      <c r="I895" s="137"/>
      <c r="J895" s="138"/>
    </row>
    <row r="896" spans="3:10" ht="20.25" customHeight="1">
      <c r="C896" s="207"/>
      <c r="D896" s="60">
        <v>888</v>
      </c>
      <c r="E896" s="136"/>
      <c r="F896" s="137"/>
      <c r="G896" s="137"/>
      <c r="H896" s="137"/>
      <c r="I896" s="137"/>
      <c r="J896" s="138"/>
    </row>
    <row r="897" spans="3:10" ht="20.25" customHeight="1">
      <c r="C897" s="207"/>
      <c r="D897" s="60">
        <v>889</v>
      </c>
      <c r="E897" s="136"/>
      <c r="F897" s="137"/>
      <c r="G897" s="137"/>
      <c r="H897" s="137"/>
      <c r="I897" s="137"/>
      <c r="J897" s="138"/>
    </row>
    <row r="898" spans="3:10" ht="20.25" customHeight="1">
      <c r="C898" s="207"/>
      <c r="D898" s="60">
        <v>890</v>
      </c>
      <c r="E898" s="136"/>
      <c r="F898" s="137"/>
      <c r="G898" s="137"/>
      <c r="H898" s="137"/>
      <c r="I898" s="137"/>
      <c r="J898" s="138"/>
    </row>
    <row r="899" spans="3:10" ht="20.25" customHeight="1">
      <c r="C899" s="207"/>
      <c r="D899" s="60">
        <v>891</v>
      </c>
      <c r="E899" s="136"/>
      <c r="F899" s="137"/>
      <c r="G899" s="137"/>
      <c r="H899" s="137"/>
      <c r="I899" s="137"/>
      <c r="J899" s="138"/>
    </row>
    <row r="900" spans="3:10" ht="20.25" customHeight="1">
      <c r="C900" s="207"/>
      <c r="D900" s="60">
        <v>892</v>
      </c>
      <c r="E900" s="136"/>
      <c r="F900" s="137"/>
      <c r="G900" s="137"/>
      <c r="H900" s="137"/>
      <c r="I900" s="137"/>
      <c r="J900" s="138"/>
    </row>
    <row r="901" spans="3:10" ht="20.25" customHeight="1">
      <c r="C901" s="207"/>
      <c r="D901" s="60">
        <v>893</v>
      </c>
      <c r="E901" s="136"/>
      <c r="F901" s="137"/>
      <c r="G901" s="137"/>
      <c r="H901" s="137"/>
      <c r="I901" s="137"/>
      <c r="J901" s="138"/>
    </row>
    <row r="902" spans="3:10" ht="20.25" customHeight="1">
      <c r="C902" s="207"/>
      <c r="D902" s="60">
        <v>894</v>
      </c>
      <c r="E902" s="136"/>
      <c r="F902" s="137"/>
      <c r="G902" s="137"/>
      <c r="H902" s="137"/>
      <c r="I902" s="137"/>
      <c r="J902" s="138"/>
    </row>
    <row r="903" spans="3:10" ht="20.25" customHeight="1">
      <c r="C903" s="207"/>
      <c r="D903" s="60">
        <v>895</v>
      </c>
      <c r="E903" s="136"/>
      <c r="F903" s="137"/>
      <c r="G903" s="137"/>
      <c r="H903" s="137"/>
      <c r="I903" s="137"/>
      <c r="J903" s="138"/>
    </row>
    <row r="904" spans="3:10" ht="20.25" customHeight="1">
      <c r="C904" s="207"/>
      <c r="D904" s="60">
        <v>896</v>
      </c>
      <c r="E904" s="136"/>
      <c r="F904" s="137"/>
      <c r="G904" s="137"/>
      <c r="H904" s="137"/>
      <c r="I904" s="137"/>
      <c r="J904" s="138"/>
    </row>
    <row r="905" spans="3:10" ht="20.25" customHeight="1">
      <c r="C905" s="207"/>
      <c r="D905" s="60">
        <v>897</v>
      </c>
      <c r="E905" s="136"/>
      <c r="F905" s="137"/>
      <c r="G905" s="137"/>
      <c r="H905" s="137"/>
      <c r="I905" s="137"/>
      <c r="J905" s="138"/>
    </row>
    <row r="906" spans="3:10" ht="20.25" customHeight="1">
      <c r="C906" s="207"/>
      <c r="D906" s="60">
        <v>898</v>
      </c>
      <c r="E906" s="136"/>
      <c r="F906" s="137"/>
      <c r="G906" s="137"/>
      <c r="H906" s="137"/>
      <c r="I906" s="137"/>
      <c r="J906" s="138"/>
    </row>
    <row r="907" spans="3:10" ht="20.25" customHeight="1">
      <c r="C907" s="207"/>
      <c r="D907" s="60">
        <v>899</v>
      </c>
      <c r="E907" s="136"/>
      <c r="F907" s="137"/>
      <c r="G907" s="137"/>
      <c r="H907" s="137"/>
      <c r="I907" s="137"/>
      <c r="J907" s="138"/>
    </row>
    <row r="908" spans="3:10" ht="20.25" customHeight="1">
      <c r="C908" s="207"/>
      <c r="D908" s="60">
        <v>900</v>
      </c>
      <c r="E908" s="136"/>
      <c r="F908" s="137"/>
      <c r="G908" s="137"/>
      <c r="H908" s="137"/>
      <c r="I908" s="137"/>
      <c r="J908" s="138"/>
    </row>
    <row r="909" spans="3:10" ht="20.25" customHeight="1">
      <c r="C909" s="207"/>
      <c r="D909" s="60">
        <v>901</v>
      </c>
      <c r="E909" s="136"/>
      <c r="F909" s="137"/>
      <c r="G909" s="137"/>
      <c r="H909" s="137"/>
      <c r="I909" s="137"/>
      <c r="J909" s="138"/>
    </row>
    <row r="910" spans="3:10" ht="20.25" customHeight="1">
      <c r="C910" s="207"/>
      <c r="D910" s="60">
        <v>902</v>
      </c>
      <c r="E910" s="136"/>
      <c r="F910" s="137"/>
      <c r="G910" s="137"/>
      <c r="H910" s="137"/>
      <c r="I910" s="137"/>
      <c r="J910" s="138"/>
    </row>
    <row r="911" spans="3:10" ht="20.25" customHeight="1">
      <c r="C911" s="207"/>
      <c r="D911" s="60">
        <v>903</v>
      </c>
      <c r="E911" s="136"/>
      <c r="F911" s="137"/>
      <c r="G911" s="137"/>
      <c r="H911" s="137"/>
      <c r="I911" s="137"/>
      <c r="J911" s="138"/>
    </row>
    <row r="912" spans="3:10" ht="20.25" customHeight="1">
      <c r="C912" s="207"/>
      <c r="D912" s="60">
        <v>904</v>
      </c>
      <c r="E912" s="136"/>
      <c r="F912" s="137"/>
      <c r="G912" s="137"/>
      <c r="H912" s="137"/>
      <c r="I912" s="137"/>
      <c r="J912" s="138"/>
    </row>
    <row r="913" spans="3:10" ht="20.25" customHeight="1">
      <c r="C913" s="207"/>
      <c r="D913" s="60">
        <v>905</v>
      </c>
      <c r="E913" s="136"/>
      <c r="F913" s="137"/>
      <c r="G913" s="137"/>
      <c r="H913" s="137"/>
      <c r="I913" s="137"/>
      <c r="J913" s="138"/>
    </row>
    <row r="914" spans="3:10" ht="20.25" customHeight="1">
      <c r="C914" s="207"/>
      <c r="D914" s="60">
        <v>906</v>
      </c>
      <c r="E914" s="136"/>
      <c r="F914" s="137"/>
      <c r="G914" s="137"/>
      <c r="H914" s="137"/>
      <c r="I914" s="137"/>
      <c r="J914" s="138"/>
    </row>
    <row r="915" spans="3:10" ht="20.25" customHeight="1">
      <c r="C915" s="207"/>
      <c r="D915" s="60">
        <v>907</v>
      </c>
      <c r="E915" s="136"/>
      <c r="F915" s="137"/>
      <c r="G915" s="137"/>
      <c r="H915" s="137"/>
      <c r="I915" s="137"/>
      <c r="J915" s="138"/>
    </row>
    <row r="916" spans="3:10" ht="20.25" customHeight="1">
      <c r="C916" s="207"/>
      <c r="D916" s="60">
        <v>908</v>
      </c>
      <c r="E916" s="136"/>
      <c r="F916" s="137"/>
      <c r="G916" s="137"/>
      <c r="H916" s="137"/>
      <c r="I916" s="137"/>
      <c r="J916" s="138"/>
    </row>
    <row r="917" spans="3:10" ht="20.25" customHeight="1">
      <c r="C917" s="207"/>
      <c r="D917" s="60">
        <v>909</v>
      </c>
      <c r="E917" s="136"/>
      <c r="F917" s="137"/>
      <c r="G917" s="137"/>
      <c r="H917" s="137"/>
      <c r="I917" s="137"/>
      <c r="J917" s="138"/>
    </row>
    <row r="918" spans="3:10" ht="20.25" customHeight="1">
      <c r="C918" s="207"/>
      <c r="D918" s="60">
        <v>910</v>
      </c>
      <c r="E918" s="136"/>
      <c r="F918" s="137"/>
      <c r="G918" s="137"/>
      <c r="H918" s="137"/>
      <c r="I918" s="137"/>
      <c r="J918" s="138"/>
    </row>
    <row r="919" spans="3:10" ht="20.25" customHeight="1">
      <c r="C919" s="207"/>
      <c r="D919" s="60">
        <v>911</v>
      </c>
      <c r="E919" s="136"/>
      <c r="F919" s="137"/>
      <c r="G919" s="137"/>
      <c r="H919" s="137"/>
      <c r="I919" s="137"/>
      <c r="J919" s="138"/>
    </row>
    <row r="920" spans="3:10" ht="20.25" customHeight="1">
      <c r="C920" s="207"/>
      <c r="D920" s="60">
        <v>912</v>
      </c>
      <c r="E920" s="136"/>
      <c r="F920" s="137"/>
      <c r="G920" s="137"/>
      <c r="H920" s="137"/>
      <c r="I920" s="137"/>
      <c r="J920" s="138"/>
    </row>
    <row r="921" spans="3:10" ht="20.25" customHeight="1">
      <c r="C921" s="207"/>
      <c r="D921" s="60">
        <v>913</v>
      </c>
      <c r="E921" s="136"/>
      <c r="F921" s="137"/>
      <c r="G921" s="137"/>
      <c r="H921" s="137"/>
      <c r="I921" s="137"/>
      <c r="J921" s="138"/>
    </row>
    <row r="922" spans="3:10" ht="20.25" customHeight="1">
      <c r="C922" s="207"/>
      <c r="D922" s="60">
        <v>914</v>
      </c>
      <c r="E922" s="136"/>
      <c r="F922" s="137"/>
      <c r="G922" s="137"/>
      <c r="H922" s="137"/>
      <c r="I922" s="137"/>
      <c r="J922" s="138"/>
    </row>
    <row r="923" spans="3:10" ht="20.25" customHeight="1">
      <c r="C923" s="207"/>
      <c r="D923" s="60">
        <v>915</v>
      </c>
      <c r="E923" s="136"/>
      <c r="F923" s="137"/>
      <c r="G923" s="137"/>
      <c r="H923" s="137"/>
      <c r="I923" s="137"/>
      <c r="J923" s="138"/>
    </row>
    <row r="924" spans="3:10" ht="20.25" customHeight="1">
      <c r="C924" s="207"/>
      <c r="D924" s="60">
        <v>916</v>
      </c>
      <c r="E924" s="136"/>
      <c r="F924" s="137"/>
      <c r="G924" s="137"/>
      <c r="H924" s="137"/>
      <c r="I924" s="137"/>
      <c r="J924" s="138"/>
    </row>
    <row r="925" spans="3:10" ht="20.25" customHeight="1">
      <c r="C925" s="207"/>
      <c r="D925" s="60">
        <v>917</v>
      </c>
      <c r="E925" s="136"/>
      <c r="F925" s="137"/>
      <c r="G925" s="137"/>
      <c r="H925" s="137"/>
      <c r="I925" s="137"/>
      <c r="J925" s="138"/>
    </row>
    <row r="926" spans="3:10" ht="20.25" customHeight="1">
      <c r="C926" s="207"/>
      <c r="D926" s="60">
        <v>918</v>
      </c>
      <c r="E926" s="136"/>
      <c r="F926" s="137"/>
      <c r="G926" s="137"/>
      <c r="H926" s="137"/>
      <c r="I926" s="137"/>
      <c r="J926" s="138"/>
    </row>
    <row r="927" spans="3:10" ht="20.25" customHeight="1">
      <c r="C927" s="207"/>
      <c r="D927" s="60">
        <v>919</v>
      </c>
      <c r="E927" s="136"/>
      <c r="F927" s="137"/>
      <c r="G927" s="137"/>
      <c r="H927" s="137"/>
      <c r="I927" s="137"/>
      <c r="J927" s="138"/>
    </row>
    <row r="928" spans="3:10" ht="20.25" customHeight="1">
      <c r="C928" s="207"/>
      <c r="D928" s="60">
        <v>920</v>
      </c>
      <c r="E928" s="136"/>
      <c r="F928" s="137"/>
      <c r="G928" s="137"/>
      <c r="H928" s="137"/>
      <c r="I928" s="137"/>
      <c r="J928" s="138"/>
    </row>
    <row r="929" spans="3:10" ht="20.25" customHeight="1">
      <c r="C929" s="207"/>
      <c r="D929" s="60">
        <v>921</v>
      </c>
      <c r="E929" s="136"/>
      <c r="F929" s="137"/>
      <c r="G929" s="137"/>
      <c r="H929" s="137"/>
      <c r="I929" s="137"/>
      <c r="J929" s="138"/>
    </row>
    <row r="930" spans="3:10" ht="20.25" customHeight="1">
      <c r="C930" s="207"/>
      <c r="D930" s="60">
        <v>922</v>
      </c>
      <c r="E930" s="136"/>
      <c r="F930" s="137"/>
      <c r="G930" s="137"/>
      <c r="H930" s="137"/>
      <c r="I930" s="137"/>
      <c r="J930" s="138"/>
    </row>
    <row r="931" spans="3:10" ht="20.25" customHeight="1">
      <c r="C931" s="207"/>
      <c r="D931" s="60">
        <v>923</v>
      </c>
      <c r="E931" s="136"/>
      <c r="F931" s="137"/>
      <c r="G931" s="137"/>
      <c r="H931" s="137"/>
      <c r="I931" s="137"/>
      <c r="J931" s="138"/>
    </row>
    <row r="932" spans="3:10" ht="20.25" customHeight="1">
      <c r="C932" s="207"/>
      <c r="D932" s="60">
        <v>924</v>
      </c>
      <c r="E932" s="136"/>
      <c r="F932" s="137"/>
      <c r="G932" s="137"/>
      <c r="H932" s="137"/>
      <c r="I932" s="137"/>
      <c r="J932" s="138"/>
    </row>
    <row r="933" spans="3:10" ht="20.25" customHeight="1">
      <c r="C933" s="207"/>
      <c r="D933" s="60">
        <v>925</v>
      </c>
      <c r="E933" s="136"/>
      <c r="F933" s="137"/>
      <c r="G933" s="137"/>
      <c r="H933" s="137"/>
      <c r="I933" s="137"/>
      <c r="J933" s="138"/>
    </row>
    <row r="934" spans="3:10" ht="20.25" customHeight="1">
      <c r="C934" s="207"/>
      <c r="D934" s="60">
        <v>926</v>
      </c>
      <c r="E934" s="136"/>
      <c r="F934" s="137"/>
      <c r="G934" s="137"/>
      <c r="H934" s="137"/>
      <c r="I934" s="137"/>
      <c r="J934" s="138"/>
    </row>
    <row r="935" spans="3:10" ht="20.25" customHeight="1">
      <c r="C935" s="207"/>
      <c r="D935" s="60">
        <v>927</v>
      </c>
      <c r="E935" s="136"/>
      <c r="F935" s="137"/>
      <c r="G935" s="137"/>
      <c r="H935" s="137"/>
      <c r="I935" s="137"/>
      <c r="J935" s="138"/>
    </row>
    <row r="936" spans="3:10" ht="20.25" customHeight="1">
      <c r="C936" s="207"/>
      <c r="D936" s="60">
        <v>928</v>
      </c>
      <c r="E936" s="136"/>
      <c r="F936" s="137"/>
      <c r="G936" s="137"/>
      <c r="H936" s="137"/>
      <c r="I936" s="137"/>
      <c r="J936" s="138"/>
    </row>
    <row r="937" spans="3:10" ht="20.25" customHeight="1">
      <c r="C937" s="207"/>
      <c r="D937" s="60">
        <v>929</v>
      </c>
      <c r="E937" s="136"/>
      <c r="F937" s="137"/>
      <c r="G937" s="137"/>
      <c r="H937" s="137"/>
      <c r="I937" s="137"/>
      <c r="J937" s="138"/>
    </row>
    <row r="938" spans="3:10" ht="20.25" customHeight="1">
      <c r="C938" s="207"/>
      <c r="D938" s="60">
        <v>930</v>
      </c>
      <c r="E938" s="136"/>
      <c r="F938" s="137"/>
      <c r="G938" s="137"/>
      <c r="H938" s="137"/>
      <c r="I938" s="137"/>
      <c r="J938" s="138"/>
    </row>
    <row r="939" spans="3:10" ht="20.25" customHeight="1">
      <c r="C939" s="207"/>
      <c r="D939" s="60">
        <v>931</v>
      </c>
      <c r="E939" s="136"/>
      <c r="F939" s="137"/>
      <c r="G939" s="137"/>
      <c r="H939" s="137"/>
      <c r="I939" s="137"/>
      <c r="J939" s="138"/>
    </row>
    <row r="940" spans="3:10" ht="20.25" customHeight="1">
      <c r="C940" s="207"/>
      <c r="D940" s="60">
        <v>932</v>
      </c>
      <c r="E940" s="136"/>
      <c r="F940" s="137"/>
      <c r="G940" s="137"/>
      <c r="H940" s="137"/>
      <c r="I940" s="137"/>
      <c r="J940" s="138"/>
    </row>
    <row r="941" spans="3:10" ht="20.25" customHeight="1">
      <c r="C941" s="207"/>
      <c r="D941" s="60">
        <v>933</v>
      </c>
      <c r="E941" s="136"/>
      <c r="F941" s="137"/>
      <c r="G941" s="137"/>
      <c r="H941" s="137"/>
      <c r="I941" s="137"/>
      <c r="J941" s="138"/>
    </row>
    <row r="942" spans="3:10" ht="20.25" customHeight="1">
      <c r="C942" s="207"/>
      <c r="D942" s="60">
        <v>934</v>
      </c>
      <c r="E942" s="136"/>
      <c r="F942" s="137"/>
      <c r="G942" s="137"/>
      <c r="H942" s="137"/>
      <c r="I942" s="137"/>
      <c r="J942" s="138"/>
    </row>
    <row r="943" spans="3:10" ht="20.25" customHeight="1">
      <c r="C943" s="207"/>
      <c r="D943" s="60">
        <v>935</v>
      </c>
      <c r="E943" s="136"/>
      <c r="F943" s="137"/>
      <c r="G943" s="137"/>
      <c r="H943" s="137"/>
      <c r="I943" s="137"/>
      <c r="J943" s="138"/>
    </row>
    <row r="944" spans="3:10" ht="20.25" customHeight="1">
      <c r="C944" s="207"/>
      <c r="D944" s="60">
        <v>936</v>
      </c>
      <c r="E944" s="136"/>
      <c r="F944" s="137"/>
      <c r="G944" s="137"/>
      <c r="H944" s="137"/>
      <c r="I944" s="137"/>
      <c r="J944" s="138"/>
    </row>
    <row r="945" spans="3:10" ht="20.25" customHeight="1">
      <c r="C945" s="207"/>
      <c r="D945" s="60">
        <v>937</v>
      </c>
      <c r="E945" s="136"/>
      <c r="F945" s="137"/>
      <c r="G945" s="137"/>
      <c r="H945" s="137"/>
      <c r="I945" s="137"/>
      <c r="J945" s="138"/>
    </row>
    <row r="946" spans="3:10" ht="20.25" customHeight="1">
      <c r="C946" s="207"/>
      <c r="D946" s="60">
        <v>938</v>
      </c>
      <c r="E946" s="136"/>
      <c r="F946" s="137"/>
      <c r="G946" s="137"/>
      <c r="H946" s="137"/>
      <c r="I946" s="137"/>
      <c r="J946" s="138"/>
    </row>
    <row r="947" spans="3:10" ht="20.25" customHeight="1">
      <c r="C947" s="207"/>
      <c r="D947" s="60">
        <v>939</v>
      </c>
      <c r="E947" s="136"/>
      <c r="F947" s="137"/>
      <c r="G947" s="137"/>
      <c r="H947" s="137"/>
      <c r="I947" s="137"/>
      <c r="J947" s="138"/>
    </row>
    <row r="948" spans="3:10" ht="20.25" customHeight="1">
      <c r="C948" s="207"/>
      <c r="D948" s="60">
        <v>940</v>
      </c>
      <c r="E948" s="136"/>
      <c r="F948" s="137"/>
      <c r="G948" s="137"/>
      <c r="H948" s="137"/>
      <c r="I948" s="137"/>
      <c r="J948" s="138"/>
    </row>
    <row r="949" spans="3:10" ht="20.25" customHeight="1">
      <c r="C949" s="207"/>
      <c r="D949" s="60">
        <v>941</v>
      </c>
      <c r="E949" s="136"/>
      <c r="F949" s="137"/>
      <c r="G949" s="137"/>
      <c r="H949" s="137"/>
      <c r="I949" s="137"/>
      <c r="J949" s="138"/>
    </row>
    <row r="950" spans="3:10" ht="20.25" customHeight="1">
      <c r="C950" s="207"/>
      <c r="D950" s="60">
        <v>942</v>
      </c>
      <c r="E950" s="136"/>
      <c r="F950" s="137"/>
      <c r="G950" s="137"/>
      <c r="H950" s="137"/>
      <c r="I950" s="137"/>
      <c r="J950" s="138"/>
    </row>
    <row r="951" spans="3:10" ht="20.25" customHeight="1">
      <c r="C951" s="207"/>
      <c r="D951" s="60">
        <v>943</v>
      </c>
      <c r="E951" s="136"/>
      <c r="F951" s="137"/>
      <c r="G951" s="137"/>
      <c r="H951" s="137"/>
      <c r="I951" s="137"/>
      <c r="J951" s="138"/>
    </row>
    <row r="952" spans="3:10" ht="20.25" customHeight="1">
      <c r="C952" s="207"/>
      <c r="D952" s="60">
        <v>944</v>
      </c>
      <c r="E952" s="136"/>
      <c r="F952" s="137"/>
      <c r="G952" s="137"/>
      <c r="H952" s="137"/>
      <c r="I952" s="137"/>
      <c r="J952" s="138"/>
    </row>
    <row r="953" spans="3:10" ht="20.25" customHeight="1">
      <c r="C953" s="207"/>
      <c r="D953" s="60">
        <v>945</v>
      </c>
      <c r="E953" s="136"/>
      <c r="F953" s="137"/>
      <c r="G953" s="137"/>
      <c r="H953" s="137"/>
      <c r="I953" s="137"/>
      <c r="J953" s="138"/>
    </row>
    <row r="954" spans="3:10" ht="20.25" customHeight="1">
      <c r="C954" s="207"/>
      <c r="D954" s="60">
        <v>946</v>
      </c>
      <c r="E954" s="136"/>
      <c r="F954" s="137"/>
      <c r="G954" s="137"/>
      <c r="H954" s="137"/>
      <c r="I954" s="137"/>
      <c r="J954" s="138"/>
    </row>
    <row r="955" spans="3:10" ht="20.25" customHeight="1">
      <c r="C955" s="207"/>
      <c r="D955" s="60">
        <v>947</v>
      </c>
      <c r="E955" s="136"/>
      <c r="F955" s="137"/>
      <c r="G955" s="137"/>
      <c r="H955" s="137"/>
      <c r="I955" s="137"/>
      <c r="J955" s="138"/>
    </row>
    <row r="956" spans="3:10" ht="20.25" customHeight="1">
      <c r="C956" s="207"/>
      <c r="D956" s="60">
        <v>948</v>
      </c>
      <c r="E956" s="136"/>
      <c r="F956" s="137"/>
      <c r="G956" s="137"/>
      <c r="H956" s="137"/>
      <c r="I956" s="137"/>
      <c r="J956" s="138"/>
    </row>
    <row r="957" spans="3:10" ht="20.25" customHeight="1">
      <c r="C957" s="207"/>
      <c r="D957" s="60">
        <v>949</v>
      </c>
      <c r="E957" s="136"/>
      <c r="F957" s="137"/>
      <c r="G957" s="137"/>
      <c r="H957" s="137"/>
      <c r="I957" s="137"/>
      <c r="J957" s="138"/>
    </row>
    <row r="958" spans="3:10" ht="20.25" customHeight="1">
      <c r="C958" s="207"/>
      <c r="D958" s="60">
        <v>950</v>
      </c>
      <c r="E958" s="136"/>
      <c r="F958" s="137"/>
      <c r="G958" s="137"/>
      <c r="H958" s="137"/>
      <c r="I958" s="137"/>
      <c r="J958" s="138"/>
    </row>
    <row r="959" spans="3:10" ht="20.25" customHeight="1">
      <c r="C959" s="207"/>
      <c r="D959" s="60">
        <v>951</v>
      </c>
      <c r="E959" s="136"/>
      <c r="F959" s="137"/>
      <c r="G959" s="137"/>
      <c r="H959" s="137"/>
      <c r="I959" s="137"/>
      <c r="J959" s="138"/>
    </row>
    <row r="960" spans="3:10" ht="20.25" customHeight="1">
      <c r="C960" s="207"/>
      <c r="D960" s="60">
        <v>952</v>
      </c>
      <c r="E960" s="136"/>
      <c r="F960" s="137"/>
      <c r="G960" s="137"/>
      <c r="H960" s="137"/>
      <c r="I960" s="137"/>
      <c r="J960" s="138"/>
    </row>
    <row r="961" spans="3:10" ht="20.25" customHeight="1">
      <c r="C961" s="207"/>
      <c r="D961" s="60">
        <v>953</v>
      </c>
      <c r="E961" s="136"/>
      <c r="F961" s="137"/>
      <c r="G961" s="137"/>
      <c r="H961" s="137"/>
      <c r="I961" s="137"/>
      <c r="J961" s="138"/>
    </row>
    <row r="962" spans="3:10" ht="20.25" customHeight="1">
      <c r="C962" s="207"/>
      <c r="D962" s="60">
        <v>954</v>
      </c>
      <c r="E962" s="136"/>
      <c r="F962" s="137"/>
      <c r="G962" s="137"/>
      <c r="H962" s="137"/>
      <c r="I962" s="137"/>
      <c r="J962" s="138"/>
    </row>
    <row r="963" spans="3:10" ht="20.25" customHeight="1">
      <c r="C963" s="207"/>
      <c r="D963" s="60">
        <v>955</v>
      </c>
      <c r="E963" s="136"/>
      <c r="F963" s="137"/>
      <c r="G963" s="137"/>
      <c r="H963" s="137"/>
      <c r="I963" s="137"/>
      <c r="J963" s="138"/>
    </row>
    <row r="964" spans="3:10" ht="20.25" customHeight="1">
      <c r="C964" s="207"/>
      <c r="D964" s="60">
        <v>956</v>
      </c>
      <c r="E964" s="136"/>
      <c r="F964" s="137"/>
      <c r="G964" s="137"/>
      <c r="H964" s="137"/>
      <c r="I964" s="137"/>
      <c r="J964" s="138"/>
    </row>
    <row r="965" spans="3:10" ht="20.25" customHeight="1">
      <c r="C965" s="207"/>
      <c r="D965" s="60">
        <v>957</v>
      </c>
      <c r="E965" s="136"/>
      <c r="F965" s="137"/>
      <c r="G965" s="137"/>
      <c r="H965" s="137"/>
      <c r="I965" s="137"/>
      <c r="J965" s="138"/>
    </row>
    <row r="966" spans="3:10" ht="20.25" customHeight="1">
      <c r="C966" s="207"/>
      <c r="D966" s="60">
        <v>958</v>
      </c>
      <c r="E966" s="136"/>
      <c r="F966" s="137"/>
      <c r="G966" s="137"/>
      <c r="H966" s="137"/>
      <c r="I966" s="137"/>
      <c r="J966" s="138"/>
    </row>
    <row r="967" spans="3:10" ht="20.25" customHeight="1">
      <c r="C967" s="207"/>
      <c r="D967" s="60">
        <v>959</v>
      </c>
      <c r="E967" s="136"/>
      <c r="F967" s="137"/>
      <c r="G967" s="137"/>
      <c r="H967" s="137"/>
      <c r="I967" s="137"/>
      <c r="J967" s="138"/>
    </row>
    <row r="968" spans="3:10" ht="20.25" customHeight="1">
      <c r="C968" s="207"/>
      <c r="D968" s="60">
        <v>960</v>
      </c>
      <c r="E968" s="136"/>
      <c r="F968" s="137"/>
      <c r="G968" s="137"/>
      <c r="H968" s="137"/>
      <c r="I968" s="137"/>
      <c r="J968" s="138"/>
    </row>
    <row r="969" spans="3:10" ht="20.25" customHeight="1">
      <c r="C969" s="207"/>
      <c r="D969" s="60">
        <v>961</v>
      </c>
      <c r="E969" s="136"/>
      <c r="F969" s="137"/>
      <c r="G969" s="137"/>
      <c r="H969" s="137"/>
      <c r="I969" s="137"/>
      <c r="J969" s="138"/>
    </row>
    <row r="970" spans="3:10" ht="20.25" customHeight="1">
      <c r="C970" s="207"/>
      <c r="D970" s="60">
        <v>962</v>
      </c>
      <c r="E970" s="136"/>
      <c r="F970" s="137"/>
      <c r="G970" s="137"/>
      <c r="H970" s="137"/>
      <c r="I970" s="137"/>
      <c r="J970" s="138"/>
    </row>
    <row r="971" spans="3:10" ht="20.25" customHeight="1">
      <c r="C971" s="207"/>
      <c r="D971" s="60">
        <v>963</v>
      </c>
      <c r="E971" s="136"/>
      <c r="F971" s="137"/>
      <c r="G971" s="137"/>
      <c r="H971" s="137"/>
      <c r="I971" s="137"/>
      <c r="J971" s="138"/>
    </row>
    <row r="972" spans="3:10" ht="20.25" customHeight="1">
      <c r="C972" s="207"/>
      <c r="D972" s="60">
        <v>964</v>
      </c>
      <c r="E972" s="136"/>
      <c r="F972" s="137"/>
      <c r="G972" s="137"/>
      <c r="H972" s="137"/>
      <c r="I972" s="137"/>
      <c r="J972" s="138"/>
    </row>
    <row r="973" spans="3:10" ht="20.25" customHeight="1">
      <c r="C973" s="207"/>
      <c r="D973" s="60">
        <v>965</v>
      </c>
      <c r="E973" s="136"/>
      <c r="F973" s="137"/>
      <c r="G973" s="137"/>
      <c r="H973" s="137"/>
      <c r="I973" s="137"/>
      <c r="J973" s="138"/>
    </row>
    <row r="974" spans="3:10" ht="20.25" customHeight="1">
      <c r="C974" s="207"/>
      <c r="D974" s="60">
        <v>966</v>
      </c>
      <c r="E974" s="136"/>
      <c r="F974" s="137"/>
      <c r="G974" s="137"/>
      <c r="H974" s="137"/>
      <c r="I974" s="137"/>
      <c r="J974" s="138"/>
    </row>
    <row r="975" spans="3:10" ht="20.25" customHeight="1">
      <c r="C975" s="207"/>
      <c r="D975" s="60">
        <v>967</v>
      </c>
      <c r="E975" s="136"/>
      <c r="F975" s="137"/>
      <c r="G975" s="137"/>
      <c r="H975" s="137"/>
      <c r="I975" s="137"/>
      <c r="J975" s="138"/>
    </row>
    <row r="976" spans="3:10" ht="20.25" customHeight="1">
      <c r="C976" s="207"/>
      <c r="D976" s="60">
        <v>968</v>
      </c>
      <c r="E976" s="136"/>
      <c r="F976" s="137"/>
      <c r="G976" s="137"/>
      <c r="H976" s="137"/>
      <c r="I976" s="137"/>
      <c r="J976" s="138"/>
    </row>
    <row r="977" spans="3:10" ht="20.25" customHeight="1">
      <c r="C977" s="207"/>
      <c r="D977" s="60">
        <v>969</v>
      </c>
      <c r="E977" s="136"/>
      <c r="F977" s="137"/>
      <c r="G977" s="137"/>
      <c r="H977" s="137"/>
      <c r="I977" s="137"/>
      <c r="J977" s="138"/>
    </row>
    <row r="978" spans="3:10" ht="20.25" customHeight="1">
      <c r="C978" s="207"/>
      <c r="D978" s="60">
        <v>970</v>
      </c>
      <c r="E978" s="136"/>
      <c r="F978" s="137"/>
      <c r="G978" s="137"/>
      <c r="H978" s="137"/>
      <c r="I978" s="137"/>
      <c r="J978" s="138"/>
    </row>
    <row r="979" spans="3:10" ht="20.25" customHeight="1">
      <c r="C979" s="207"/>
      <c r="D979" s="60">
        <v>971</v>
      </c>
      <c r="E979" s="136"/>
      <c r="F979" s="137"/>
      <c r="G979" s="137"/>
      <c r="H979" s="137"/>
      <c r="I979" s="137"/>
      <c r="J979" s="138"/>
    </row>
    <row r="980" spans="3:10" ht="20.25" customHeight="1">
      <c r="C980" s="207"/>
      <c r="D980" s="60">
        <v>972</v>
      </c>
      <c r="E980" s="136"/>
      <c r="F980" s="137"/>
      <c r="G980" s="137"/>
      <c r="H980" s="137"/>
      <c r="I980" s="137"/>
      <c r="J980" s="138"/>
    </row>
    <row r="981" spans="3:10" ht="20.25" customHeight="1">
      <c r="C981" s="207"/>
      <c r="D981" s="60">
        <v>973</v>
      </c>
      <c r="E981" s="136"/>
      <c r="F981" s="137"/>
      <c r="G981" s="137"/>
      <c r="H981" s="137"/>
      <c r="I981" s="137"/>
      <c r="J981" s="138"/>
    </row>
    <row r="982" spans="3:10" ht="20.25" customHeight="1">
      <c r="C982" s="207"/>
      <c r="D982" s="60">
        <v>974</v>
      </c>
      <c r="E982" s="136"/>
      <c r="F982" s="137"/>
      <c r="G982" s="137"/>
      <c r="H982" s="137"/>
      <c r="I982" s="137"/>
      <c r="J982" s="138"/>
    </row>
    <row r="983" spans="3:10" ht="20.25" customHeight="1">
      <c r="C983" s="207"/>
      <c r="D983" s="60">
        <v>975</v>
      </c>
      <c r="E983" s="136"/>
      <c r="F983" s="137"/>
      <c r="G983" s="137"/>
      <c r="H983" s="137"/>
      <c r="I983" s="137"/>
      <c r="J983" s="138"/>
    </row>
    <row r="984" spans="3:10" ht="20.25" customHeight="1">
      <c r="C984" s="207"/>
      <c r="D984" s="60">
        <v>976</v>
      </c>
      <c r="E984" s="136"/>
      <c r="F984" s="137"/>
      <c r="G984" s="137"/>
      <c r="H984" s="137"/>
      <c r="I984" s="137"/>
      <c r="J984" s="138"/>
    </row>
    <row r="985" spans="3:10" ht="20.25" customHeight="1">
      <c r="C985" s="207"/>
      <c r="D985" s="60">
        <v>977</v>
      </c>
      <c r="E985" s="136"/>
      <c r="F985" s="137"/>
      <c r="G985" s="137"/>
      <c r="H985" s="137"/>
      <c r="I985" s="137"/>
      <c r="J985" s="138"/>
    </row>
    <row r="986" spans="3:10" ht="20.25" customHeight="1">
      <c r="C986" s="207"/>
      <c r="D986" s="60">
        <v>978</v>
      </c>
      <c r="E986" s="136"/>
      <c r="F986" s="137"/>
      <c r="G986" s="137"/>
      <c r="H986" s="137"/>
      <c r="I986" s="137"/>
      <c r="J986" s="138"/>
    </row>
    <row r="987" spans="3:10" ht="20.25" customHeight="1">
      <c r="C987" s="207"/>
      <c r="D987" s="60">
        <v>979</v>
      </c>
      <c r="E987" s="136"/>
      <c r="F987" s="137"/>
      <c r="G987" s="137"/>
      <c r="H987" s="137"/>
      <c r="I987" s="137"/>
      <c r="J987" s="138"/>
    </row>
    <row r="988" spans="3:10" ht="20.25" customHeight="1">
      <c r="C988" s="207"/>
      <c r="D988" s="60">
        <v>980</v>
      </c>
      <c r="E988" s="136"/>
      <c r="F988" s="137"/>
      <c r="G988" s="137"/>
      <c r="H988" s="137"/>
      <c r="I988" s="137"/>
      <c r="J988" s="138"/>
    </row>
    <row r="989" spans="3:10" ht="20.25" customHeight="1">
      <c r="C989" s="207"/>
      <c r="D989" s="60">
        <v>981</v>
      </c>
      <c r="E989" s="136"/>
      <c r="F989" s="137"/>
      <c r="G989" s="137"/>
      <c r="H989" s="137"/>
      <c r="I989" s="137"/>
      <c r="J989" s="138"/>
    </row>
    <row r="990" spans="3:10" ht="20.25" customHeight="1">
      <c r="C990" s="207"/>
      <c r="D990" s="60">
        <v>982</v>
      </c>
      <c r="E990" s="136"/>
      <c r="F990" s="137"/>
      <c r="G990" s="137"/>
      <c r="H990" s="137"/>
      <c r="I990" s="137"/>
      <c r="J990" s="138"/>
    </row>
    <row r="991" spans="3:10" ht="20.25" customHeight="1">
      <c r="C991" s="207"/>
      <c r="D991" s="60">
        <v>983</v>
      </c>
      <c r="E991" s="136"/>
      <c r="F991" s="137"/>
      <c r="G991" s="137"/>
      <c r="H991" s="137"/>
      <c r="I991" s="137"/>
      <c r="J991" s="138"/>
    </row>
    <row r="992" spans="3:10" ht="20.25" customHeight="1">
      <c r="C992" s="207"/>
      <c r="D992" s="60">
        <v>984</v>
      </c>
      <c r="E992" s="136"/>
      <c r="F992" s="137"/>
      <c r="G992" s="137"/>
      <c r="H992" s="137"/>
      <c r="I992" s="137"/>
      <c r="J992" s="138"/>
    </row>
    <row r="993" spans="3:10" ht="20.25" customHeight="1">
      <c r="C993" s="207"/>
      <c r="D993" s="60">
        <v>985</v>
      </c>
      <c r="E993" s="136"/>
      <c r="F993" s="137"/>
      <c r="G993" s="137"/>
      <c r="H993" s="137"/>
      <c r="I993" s="137"/>
      <c r="J993" s="138"/>
    </row>
    <row r="994" spans="3:10" ht="20.25" customHeight="1">
      <c r="C994" s="207"/>
      <c r="D994" s="60">
        <v>986</v>
      </c>
      <c r="E994" s="136"/>
      <c r="F994" s="137"/>
      <c r="G994" s="137"/>
      <c r="H994" s="137"/>
      <c r="I994" s="137"/>
      <c r="J994" s="138"/>
    </row>
    <row r="995" spans="3:10" ht="20.25" customHeight="1">
      <c r="C995" s="207"/>
      <c r="D995" s="60">
        <v>987</v>
      </c>
      <c r="E995" s="136"/>
      <c r="F995" s="137"/>
      <c r="G995" s="137"/>
      <c r="H995" s="137"/>
      <c r="I995" s="137"/>
      <c r="J995" s="138"/>
    </row>
    <row r="996" spans="3:10" ht="20.25" customHeight="1">
      <c r="C996" s="207"/>
      <c r="D996" s="60">
        <v>988</v>
      </c>
      <c r="E996" s="136"/>
      <c r="F996" s="137"/>
      <c r="G996" s="137"/>
      <c r="H996" s="137"/>
      <c r="I996" s="137"/>
      <c r="J996" s="138"/>
    </row>
    <row r="997" spans="3:10" ht="20.25" customHeight="1">
      <c r="C997" s="207"/>
      <c r="D997" s="60">
        <v>989</v>
      </c>
      <c r="E997" s="136"/>
      <c r="F997" s="137"/>
      <c r="G997" s="137"/>
      <c r="H997" s="137"/>
      <c r="I997" s="137"/>
      <c r="J997" s="138"/>
    </row>
    <row r="998" spans="3:10" ht="20.25" customHeight="1">
      <c r="C998" s="207"/>
      <c r="D998" s="60">
        <v>990</v>
      </c>
      <c r="E998" s="136"/>
      <c r="F998" s="137"/>
      <c r="G998" s="137"/>
      <c r="H998" s="137"/>
      <c r="I998" s="137"/>
      <c r="J998" s="138"/>
    </row>
    <row r="999" spans="3:10" ht="20.25" customHeight="1">
      <c r="C999" s="207"/>
      <c r="D999" s="60">
        <v>991</v>
      </c>
      <c r="E999" s="136"/>
      <c r="F999" s="137"/>
      <c r="G999" s="137"/>
      <c r="H999" s="137"/>
      <c r="I999" s="137"/>
      <c r="J999" s="138"/>
    </row>
    <row r="1000" spans="3:10" ht="20.25" customHeight="1">
      <c r="C1000" s="207"/>
      <c r="D1000" s="60">
        <v>992</v>
      </c>
      <c r="E1000" s="136"/>
      <c r="F1000" s="137"/>
      <c r="G1000" s="137"/>
      <c r="H1000" s="137"/>
      <c r="I1000" s="137"/>
      <c r="J1000" s="138"/>
    </row>
    <row r="1001" spans="3:10" ht="20.25" customHeight="1">
      <c r="C1001" s="207"/>
      <c r="D1001" s="60">
        <v>993</v>
      </c>
      <c r="E1001" s="136"/>
      <c r="F1001" s="137"/>
      <c r="G1001" s="137"/>
      <c r="H1001" s="137"/>
      <c r="I1001" s="137"/>
      <c r="J1001" s="138"/>
    </row>
    <row r="1002" spans="3:10" ht="20.25" customHeight="1">
      <c r="C1002" s="207"/>
      <c r="D1002" s="60">
        <v>994</v>
      </c>
      <c r="E1002" s="136"/>
      <c r="F1002" s="137"/>
      <c r="G1002" s="137"/>
      <c r="H1002" s="137"/>
      <c r="I1002" s="137"/>
      <c r="J1002" s="138"/>
    </row>
    <row r="1003" spans="3:10" ht="20.25" customHeight="1">
      <c r="C1003" s="207"/>
      <c r="D1003" s="60">
        <v>995</v>
      </c>
      <c r="E1003" s="136"/>
      <c r="F1003" s="137"/>
      <c r="G1003" s="137"/>
      <c r="H1003" s="137"/>
      <c r="I1003" s="137"/>
      <c r="J1003" s="138"/>
    </row>
    <row r="1004" spans="3:10" ht="20.25" customHeight="1">
      <c r="C1004" s="207"/>
      <c r="D1004" s="60">
        <v>996</v>
      </c>
      <c r="E1004" s="136"/>
      <c r="F1004" s="137"/>
      <c r="G1004" s="137"/>
      <c r="H1004" s="137"/>
      <c r="I1004" s="137"/>
      <c r="J1004" s="138"/>
    </row>
    <row r="1005" spans="3:10" ht="20.25" customHeight="1">
      <c r="C1005" s="207"/>
      <c r="D1005" s="60">
        <v>997</v>
      </c>
      <c r="E1005" s="136"/>
      <c r="F1005" s="137"/>
      <c r="G1005" s="137"/>
      <c r="H1005" s="137"/>
      <c r="I1005" s="137"/>
      <c r="J1005" s="138"/>
    </row>
    <row r="1006" spans="3:10" ht="20.25" customHeight="1">
      <c r="C1006" s="207"/>
      <c r="D1006" s="60">
        <v>998</v>
      </c>
      <c r="E1006" s="136"/>
      <c r="F1006" s="137"/>
      <c r="G1006" s="137"/>
      <c r="H1006" s="137"/>
      <c r="I1006" s="137"/>
      <c r="J1006" s="138"/>
    </row>
    <row r="1007" spans="3:10" ht="20.25" customHeight="1">
      <c r="C1007" s="207"/>
      <c r="D1007" s="60">
        <v>999</v>
      </c>
      <c r="E1007" s="136"/>
      <c r="F1007" s="137"/>
      <c r="G1007" s="137"/>
      <c r="H1007" s="137"/>
      <c r="I1007" s="137"/>
      <c r="J1007" s="138"/>
    </row>
    <row r="1008" spans="3:10" ht="20.25" customHeight="1">
      <c r="C1008" s="208"/>
      <c r="D1008" s="60">
        <v>1000</v>
      </c>
      <c r="E1008" s="139"/>
      <c r="F1008" s="140"/>
      <c r="G1008" s="140"/>
      <c r="H1008" s="140"/>
      <c r="I1008" s="140"/>
      <c r="J1008" s="141"/>
    </row>
  </sheetData>
  <sheetProtection algorithmName="SHA-512" hashValue="5pANAcelxihmZjNOpkg5/fjT73gR0gNskLR20EePts608ZjyEUtXkyUkMS13jn2gx8MLs3BoUoICIC4adf+Y8Q==" saltValue="g+pq2vkGebGBSgN5s6+saA==" spinCount="100000" sheet="1" objects="1" scenarios="1"/>
  <mergeCells count="6">
    <mergeCell ref="C9:C12"/>
    <mergeCell ref="M16:M20"/>
    <mergeCell ref="E7:J7"/>
    <mergeCell ref="E8:F8"/>
    <mergeCell ref="G8:H8"/>
    <mergeCell ref="I8:J8"/>
  </mergeCells>
  <phoneticPr fontId="2"/>
  <dataValidations count="4">
    <dataValidation type="list" allowBlank="1" showInputMessage="1" showErrorMessage="1" sqref="O15" xr:uid="{B4802843-7D1C-4444-9E53-B3EB3213C0F4}">
      <formula1>$N$16:$N$20</formula1>
    </dataValidation>
    <dataValidation type="list" allowBlank="1" showInputMessage="1" showErrorMessage="1" sqref="P15" xr:uid="{2206B77B-3089-4537-90CE-7980AE3FD164}">
      <formula1>$N$16:$N$19</formula1>
    </dataValidation>
    <dataValidation type="list" allowBlank="1" showInputMessage="1" showErrorMessage="1" sqref="Q15:R15" xr:uid="{BF39C2CA-F6BF-433F-855C-CCECA4CF38CB}">
      <formula1>$N$16:$N$17</formula1>
    </dataValidation>
    <dataValidation type="list" allowBlank="1" showInputMessage="1" showErrorMessage="1" sqref="R7:R9" xr:uid="{8B9876C6-76B3-499D-A5CD-1EE2E696E51C}">
      <formula1>"1,2,3"</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5E431-D7B7-4635-845E-303D19B43C14}">
  <sheetPr codeName="Sheet13">
    <tabColor rgb="FFFFFFCC"/>
  </sheetPr>
  <dimension ref="A1:K12"/>
  <sheetViews>
    <sheetView showGridLines="0" showRowColHeaders="0" workbookViewId="0">
      <pane ySplit="3" topLeftCell="A4" activePane="bottomLeft" state="frozen"/>
      <selection pane="bottomLeft" activeCell="A4" sqref="A4"/>
    </sheetView>
  </sheetViews>
  <sheetFormatPr defaultColWidth="3.375" defaultRowHeight="20.25" customHeight="1"/>
  <cols>
    <col min="5" max="5" width="11.25" customWidth="1"/>
    <col min="8" max="8" width="40.375" bestFit="1" customWidth="1"/>
    <col min="9" max="9" width="10.625" customWidth="1"/>
    <col min="10" max="10" width="6.125" bestFit="1" customWidth="1"/>
    <col min="11" max="11" width="3.375" customWidth="1"/>
    <col min="12" max="12" width="4.5" bestFit="1" customWidth="1"/>
  </cols>
  <sheetData>
    <row r="1" spans="1:11" s="71" customFormat="1" ht="20.25" customHeight="1">
      <c r="A1" s="74" t="s">
        <v>671</v>
      </c>
      <c r="B1" s="74"/>
      <c r="C1" s="74"/>
      <c r="D1" s="74"/>
      <c r="E1" s="74"/>
      <c r="F1" s="74"/>
    </row>
    <row r="2" spans="1:11" s="71" customFormat="1" ht="30">
      <c r="A2" s="72" t="s">
        <v>479</v>
      </c>
      <c r="B2" s="72"/>
      <c r="C2" s="72"/>
      <c r="D2" s="72"/>
      <c r="E2" s="72"/>
      <c r="F2" s="72"/>
    </row>
    <row r="3" spans="1:11" s="69" customFormat="1" ht="7.5" customHeight="1"/>
    <row r="5" spans="1:11" ht="20.25" customHeight="1">
      <c r="B5" s="70" t="s">
        <v>392</v>
      </c>
      <c r="G5" s="70" t="s">
        <v>393</v>
      </c>
    </row>
    <row r="6" spans="1:11" ht="20.25" customHeight="1">
      <c r="E6" s="67" t="str" cm="1">
        <f t="array" ref="E6">"回転数[" &amp; INDEX(E8:E12,E7)&amp;"]"</f>
        <v>回転数[1/min]</v>
      </c>
    </row>
    <row r="7" spans="1:11" ht="20.25" customHeight="1">
      <c r="E7" s="89">
        <v>2</v>
      </c>
      <c r="H7" s="75" t="s">
        <v>749</v>
      </c>
      <c r="I7" s="88">
        <v>2550</v>
      </c>
      <c r="J7" t="str" cm="1">
        <f t="array" ref="J7">INDEX(入力1!O16:O20,入力1!O15)</f>
        <v>L/s</v>
      </c>
    </row>
    <row r="8" spans="1:11" ht="20.25" customHeight="1">
      <c r="C8" s="278" t="s">
        <v>379</v>
      </c>
      <c r="D8" s="64">
        <v>1</v>
      </c>
      <c r="E8" s="61" t="s">
        <v>388</v>
      </c>
      <c r="H8" s="155" t="s">
        <v>387</v>
      </c>
      <c r="I8" s="86">
        <v>32</v>
      </c>
      <c r="J8" t="str" cm="1">
        <f t="array" ref="J8">INDEX(入力1!P16:P20,入力1!P15)</f>
        <v>m</v>
      </c>
      <c r="K8" s="143"/>
    </row>
    <row r="9" spans="1:11" ht="20.25" customHeight="1">
      <c r="C9" s="279"/>
      <c r="D9" s="65">
        <v>2</v>
      </c>
      <c r="E9" s="62" t="s">
        <v>389</v>
      </c>
      <c r="H9" s="75" t="s">
        <v>748</v>
      </c>
      <c r="I9" s="88">
        <v>22</v>
      </c>
      <c r="J9" t="str" cm="1">
        <f t="array" ref="J9">INDEX(入力1!R16:R20,入力1!R15)</f>
        <v>kW</v>
      </c>
    </row>
    <row r="10" spans="1:11" ht="20.25" customHeight="1">
      <c r="C10" s="279"/>
      <c r="D10" s="65">
        <v>3</v>
      </c>
      <c r="E10" s="62" t="s">
        <v>390</v>
      </c>
      <c r="H10" s="155" t="s">
        <v>514</v>
      </c>
      <c r="I10" s="88">
        <v>1800</v>
      </c>
      <c r="J10" t="str" cm="1">
        <f t="array" ref="J10">INDEX(E8:E12,E7)</f>
        <v>1/min</v>
      </c>
    </row>
    <row r="11" spans="1:11" ht="20.25" customHeight="1">
      <c r="C11" s="279"/>
      <c r="D11" s="65">
        <v>4</v>
      </c>
      <c r="E11" s="62"/>
      <c r="H11" s="155" t="s">
        <v>519</v>
      </c>
      <c r="I11" s="88">
        <v>60</v>
      </c>
      <c r="J11" t="s">
        <v>391</v>
      </c>
    </row>
    <row r="12" spans="1:11" ht="20.25" customHeight="1">
      <c r="C12" s="280"/>
      <c r="D12" s="66">
        <v>5</v>
      </c>
      <c r="E12" s="63"/>
    </row>
  </sheetData>
  <sheetProtection algorithmName="SHA-512" hashValue="Hrqn+MK6VpvMfIWprwzIEThkCcK7mpT1Z0XiNkiA6S1vi+gZ5lumzqWCw12Xnw4XzQ2lvuq/+fOgf5356fyGIw==" saltValue="w98CLv3aOjjNCacBO6Jnlw==" spinCount="100000" sheet="1" objects="1" scenarios="1"/>
  <mergeCells count="1">
    <mergeCell ref="C8:C12"/>
  </mergeCells>
  <phoneticPr fontId="2"/>
  <dataValidations count="2">
    <dataValidation type="list" allowBlank="1" showInputMessage="1" showErrorMessage="1" sqref="E7" xr:uid="{444CDC90-C25C-426B-AE1D-AE0006234D38}">
      <formula1>$D$8:$D$10</formula1>
    </dataValidation>
    <dataValidation type="list" allowBlank="1" showInputMessage="1" showErrorMessage="1" sqref="I11" xr:uid="{5C029F76-1D4A-483D-A7FB-816627741A77}">
      <formula1>"50,60"</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FADEB-1372-4F94-B846-35969D6D39A5}">
  <sheetPr codeName="Sheet14">
    <tabColor rgb="FFFFFFCC"/>
  </sheetPr>
  <dimension ref="A1:G17"/>
  <sheetViews>
    <sheetView showGridLines="0" showRowColHeaders="0" zoomScaleNormal="100" workbookViewId="0">
      <pane ySplit="3" topLeftCell="A4" activePane="bottomLeft" state="frozen"/>
      <selection pane="bottomLeft" activeCell="A4" sqref="A4"/>
    </sheetView>
  </sheetViews>
  <sheetFormatPr defaultColWidth="3.375" defaultRowHeight="20.25" customHeight="1"/>
  <cols>
    <col min="4" max="4" width="50.5" bestFit="1" customWidth="1"/>
    <col min="5" max="5" width="12.75" bestFit="1" customWidth="1"/>
    <col min="6" max="6" width="4.75" bestFit="1" customWidth="1"/>
    <col min="21" max="21" width="3.25" bestFit="1" customWidth="1"/>
  </cols>
  <sheetData>
    <row r="1" spans="1:7" s="71" customFormat="1" ht="20.25" customHeight="1">
      <c r="A1" s="74" t="s">
        <v>672</v>
      </c>
    </row>
    <row r="2" spans="1:7" s="71" customFormat="1" ht="30">
      <c r="A2" s="72" t="s">
        <v>386</v>
      </c>
    </row>
    <row r="3" spans="1:7" s="69" customFormat="1" ht="7.5" customHeight="1"/>
    <row r="5" spans="1:7" ht="20.25" customHeight="1">
      <c r="B5" s="70" t="s">
        <v>403</v>
      </c>
    </row>
    <row r="6" spans="1:7" ht="20.25" customHeight="1">
      <c r="D6" s="75" t="s">
        <v>395</v>
      </c>
      <c r="E6" s="86">
        <v>5</v>
      </c>
      <c r="F6" t="s">
        <v>11</v>
      </c>
    </row>
    <row r="8" spans="1:7" ht="20.25" customHeight="1">
      <c r="D8" s="75" t="s">
        <v>399</v>
      </c>
      <c r="E8" s="86">
        <v>219.52</v>
      </c>
      <c r="F8" t="s">
        <v>397</v>
      </c>
      <c r="G8" t="s">
        <v>398</v>
      </c>
    </row>
    <row r="9" spans="1:7" ht="20.25" customHeight="1">
      <c r="D9" s="75" t="s">
        <v>402</v>
      </c>
      <c r="E9" s="87">
        <v>50</v>
      </c>
      <c r="F9" t="s">
        <v>397</v>
      </c>
      <c r="G9" t="s">
        <v>401</v>
      </c>
    </row>
    <row r="11" spans="1:7" ht="20.25" customHeight="1">
      <c r="D11" s="75" t="s">
        <v>747</v>
      </c>
      <c r="E11" s="88">
        <v>5</v>
      </c>
      <c r="F11" t="s">
        <v>396</v>
      </c>
    </row>
    <row r="12" spans="1:7" ht="20.25" customHeight="1">
      <c r="D12" s="75" t="s">
        <v>752</v>
      </c>
      <c r="E12" s="85">
        <v>100</v>
      </c>
      <c r="F12" t="s">
        <v>400</v>
      </c>
      <c r="G12" t="str">
        <f>"※増段閾値を定格流量の"&amp;E12&amp;"％とする"</f>
        <v>※増段閾値を定格流量の100％とする</v>
      </c>
    </row>
    <row r="14" spans="1:7" ht="20.25" customHeight="1">
      <c r="B14" s="70" t="s">
        <v>404</v>
      </c>
    </row>
    <row r="15" spans="1:7" ht="20.25" customHeight="1">
      <c r="C15" t="s">
        <v>517</v>
      </c>
      <c r="D15" s="68"/>
      <c r="E15" s="143"/>
      <c r="F15" s="143"/>
      <c r="G15" s="143"/>
    </row>
    <row r="16" spans="1:7" ht="20.25" customHeight="1">
      <c r="D16" s="68" t="s">
        <v>515</v>
      </c>
      <c r="E16" s="84">
        <v>100</v>
      </c>
      <c r="F16" t="s">
        <v>394</v>
      </c>
      <c r="G16" s="143"/>
    </row>
    <row r="17" spans="4:7" ht="20.25" customHeight="1">
      <c r="D17" s="68" t="s">
        <v>516</v>
      </c>
      <c r="E17" s="84">
        <v>20</v>
      </c>
      <c r="F17" t="s">
        <v>394</v>
      </c>
      <c r="G17" s="143"/>
    </row>
  </sheetData>
  <sheetProtection algorithmName="SHA-512" hashValue="mBBAxLq2Gawc7HRLzAUesPsjDXkOMCVZP9r/RcQxAWZvcllkil42KEpeRVFyOMFtRDroK39rkkMPLtnh5i92Og==" saltValue="exdBR4jQQ9Z808wougAptQ==" spinCount="100000" sheet="1" objects="1" scenarios="1"/>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1074B-D62D-46D1-B26C-E63467A8C522}">
  <sheetPr codeName="Sheet18">
    <tabColor rgb="FFFFFFCC"/>
  </sheetPr>
  <dimension ref="A1:G6"/>
  <sheetViews>
    <sheetView showGridLines="0" showRowColHeaders="0" workbookViewId="0">
      <pane ySplit="3" topLeftCell="A4" activePane="bottomLeft" state="frozen"/>
      <selection pane="bottomLeft" activeCell="A4" sqref="A4"/>
    </sheetView>
  </sheetViews>
  <sheetFormatPr defaultColWidth="3.375" defaultRowHeight="20.25" customHeight="1"/>
  <cols>
    <col min="4" max="4" width="40" bestFit="1" customWidth="1"/>
    <col min="5" max="5" width="11" bestFit="1" customWidth="1"/>
    <col min="6" max="6" width="4.75" bestFit="1" customWidth="1"/>
    <col min="21" max="21" width="3.25" bestFit="1" customWidth="1"/>
  </cols>
  <sheetData>
    <row r="1" spans="1:7" s="71" customFormat="1" ht="20.25" customHeight="1">
      <c r="A1" s="74" t="s">
        <v>673</v>
      </c>
    </row>
    <row r="2" spans="1:7" s="71" customFormat="1" ht="30">
      <c r="A2" s="72" t="s">
        <v>505</v>
      </c>
    </row>
    <row r="3" spans="1:7" s="69" customFormat="1" ht="7.5" customHeight="1"/>
    <row r="5" spans="1:7" ht="20.25" customHeight="1">
      <c r="B5" s="70" t="s">
        <v>506</v>
      </c>
    </row>
    <row r="6" spans="1:7" ht="20.25" customHeight="1">
      <c r="D6" s="33" t="s">
        <v>507</v>
      </c>
      <c r="E6" s="266" t="s">
        <v>710</v>
      </c>
      <c r="G6" s="135" t="s">
        <v>518</v>
      </c>
    </row>
  </sheetData>
  <sheetProtection algorithmName="SHA-512" hashValue="RF0FAZzkbOQ8Ii0bCTdRGZNqjJIGAkELAvL+23lUJFnuZS3vjoD1wcHf3MvVQekKpbh0O6jjaJtdaiidDB/6wQ==" saltValue="DBrKCiHt7JLslUcSWmxSSw==" spinCount="100000" sheet="1" objects="1" scenarios="1"/>
  <phoneticPr fontId="2"/>
  <dataValidations count="1">
    <dataValidation type="list" allowBlank="1" showInputMessage="1" showErrorMessage="1" sqref="E6" xr:uid="{FC7C3EF5-A1A7-42F7-935F-94799F1805D4}">
      <formula1>"軸動力,ポンプ効率"</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6133D-1667-4E85-AC14-EF7415DDA380}">
  <sheetPr codeName="Sheet19">
    <tabColor rgb="FFFFFFCC"/>
  </sheetPr>
  <dimension ref="A1:M23"/>
  <sheetViews>
    <sheetView showGridLines="0" showRowColHeaders="0" workbookViewId="0">
      <pane ySplit="3" topLeftCell="A4" activePane="bottomLeft" state="frozen"/>
      <selection pane="bottomLeft" activeCell="A4" sqref="A4"/>
    </sheetView>
  </sheetViews>
  <sheetFormatPr defaultColWidth="3.375" defaultRowHeight="20.25" customHeight="1"/>
  <cols>
    <col min="4" max="4" width="9" bestFit="1" customWidth="1"/>
    <col min="5" max="5" width="23.25" bestFit="1" customWidth="1"/>
    <col min="6" max="6" width="10" bestFit="1" customWidth="1"/>
    <col min="7" max="7" width="12.125" bestFit="1" customWidth="1"/>
    <col min="8" max="9" width="9" bestFit="1" customWidth="1"/>
    <col min="10" max="12" width="10" bestFit="1" customWidth="1"/>
    <col min="13" max="13" width="9" bestFit="1" customWidth="1"/>
  </cols>
  <sheetData>
    <row r="1" spans="1:13" s="71" customFormat="1" ht="20.25" customHeight="1">
      <c r="A1" s="74" t="s">
        <v>674</v>
      </c>
    </row>
    <row r="2" spans="1:13" s="71" customFormat="1" ht="30">
      <c r="A2" s="72" t="s">
        <v>632</v>
      </c>
    </row>
    <row r="3" spans="1:13" s="69" customFormat="1" ht="7.5" customHeight="1"/>
    <row r="5" spans="1:13" ht="20.25" customHeight="1">
      <c r="B5" s="70" t="s">
        <v>633</v>
      </c>
      <c r="J5" s="135"/>
    </row>
    <row r="6" spans="1:13" ht="20.25" customHeight="1">
      <c r="G6" s="135"/>
      <c r="H6" s="135"/>
      <c r="I6" s="135"/>
      <c r="L6" s="135"/>
    </row>
    <row r="7" spans="1:13" ht="20.25" customHeight="1">
      <c r="D7" s="212"/>
      <c r="E7" s="213"/>
      <c r="F7" s="212" t="s">
        <v>2</v>
      </c>
      <c r="G7" s="227"/>
      <c r="H7" s="212" t="s">
        <v>643</v>
      </c>
      <c r="I7" s="213"/>
      <c r="J7" s="212" t="s">
        <v>639</v>
      </c>
      <c r="K7" s="213"/>
      <c r="L7" s="212" t="s">
        <v>638</v>
      </c>
      <c r="M7" s="213"/>
    </row>
    <row r="8" spans="1:13" ht="20.25" customHeight="1">
      <c r="D8" s="214" t="s">
        <v>429</v>
      </c>
      <c r="E8" s="215" t="s">
        <v>634</v>
      </c>
      <c r="F8" s="214" t="s">
        <v>642</v>
      </c>
      <c r="G8" s="229" t="s">
        <v>635</v>
      </c>
      <c r="H8" s="214" t="s">
        <v>644</v>
      </c>
      <c r="I8" s="215" t="s">
        <v>441</v>
      </c>
      <c r="J8" s="214" t="s">
        <v>641</v>
      </c>
      <c r="K8" s="215" t="s">
        <v>638</v>
      </c>
      <c r="L8" s="214" t="s">
        <v>451</v>
      </c>
      <c r="M8" s="215" t="s">
        <v>640</v>
      </c>
    </row>
    <row r="9" spans="1:13" ht="20.25" customHeight="1">
      <c r="D9" s="214"/>
      <c r="E9" s="215"/>
      <c r="F9" s="271" t="s">
        <v>757</v>
      </c>
      <c r="G9" s="272" t="s">
        <v>764</v>
      </c>
      <c r="H9" s="271"/>
      <c r="I9" s="273" t="s">
        <v>760</v>
      </c>
      <c r="J9" s="271"/>
      <c r="K9" s="273" t="s">
        <v>758</v>
      </c>
      <c r="L9" s="271"/>
      <c r="M9" s="273" t="s">
        <v>762</v>
      </c>
    </row>
    <row r="10" spans="1:13" ht="20.25" customHeight="1">
      <c r="D10" s="216"/>
      <c r="E10" s="217"/>
      <c r="F10" s="216" t="s">
        <v>372</v>
      </c>
      <c r="G10" s="228"/>
      <c r="H10" s="216" t="s">
        <v>0</v>
      </c>
      <c r="I10" s="217" t="s">
        <v>0</v>
      </c>
      <c r="J10" s="216" t="s">
        <v>1</v>
      </c>
      <c r="K10" s="217" t="s">
        <v>1</v>
      </c>
      <c r="L10" s="216" t="s">
        <v>391</v>
      </c>
      <c r="M10" s="217" t="s">
        <v>4</v>
      </c>
    </row>
    <row r="11" spans="1:13" ht="20.25" customHeight="1">
      <c r="D11" s="124">
        <v>1</v>
      </c>
      <c r="E11" s="210" t="s">
        <v>636</v>
      </c>
      <c r="F11" s="136">
        <v>4172.7272727272702</v>
      </c>
      <c r="G11" s="138">
        <v>9.0909090909090898E-2</v>
      </c>
      <c r="H11" s="136">
        <v>14.967272727272725</v>
      </c>
      <c r="I11" s="138">
        <v>14.967272727272725</v>
      </c>
      <c r="J11" s="264">
        <v>1</v>
      </c>
      <c r="K11" s="265">
        <v>1</v>
      </c>
      <c r="L11" s="136">
        <v>0.40339024448690303</v>
      </c>
      <c r="M11" s="138">
        <v>0.73954878155932247</v>
      </c>
    </row>
    <row r="12" spans="1:13" ht="20.25" customHeight="1">
      <c r="D12" s="124">
        <v>2</v>
      </c>
      <c r="E12" s="210"/>
      <c r="F12" s="136">
        <v>8345.4545454545496</v>
      </c>
      <c r="G12" s="138">
        <v>0.18181818181818199</v>
      </c>
      <c r="H12" s="136">
        <v>29.93454545454545</v>
      </c>
      <c r="I12" s="138">
        <v>29.93454545454545</v>
      </c>
      <c r="J12" s="136">
        <v>1</v>
      </c>
      <c r="K12" s="138">
        <v>1</v>
      </c>
      <c r="L12" s="136">
        <v>0.80678048897380628</v>
      </c>
      <c r="M12" s="138">
        <v>1.4790975631186449</v>
      </c>
    </row>
    <row r="13" spans="1:13" ht="20.25" customHeight="1">
      <c r="D13" s="124">
        <v>3</v>
      </c>
      <c r="E13" s="210"/>
      <c r="F13" s="136">
        <v>12518.1818181818</v>
      </c>
      <c r="G13" s="138">
        <v>0.27272727272727298</v>
      </c>
      <c r="H13" s="136">
        <v>44.901818181818179</v>
      </c>
      <c r="I13" s="138">
        <v>44.901818181818179</v>
      </c>
      <c r="J13" s="136">
        <v>2</v>
      </c>
      <c r="K13" s="138">
        <v>2</v>
      </c>
      <c r="L13" s="136">
        <v>2.2929284820471501</v>
      </c>
      <c r="M13" s="138">
        <v>4.2037022170864358</v>
      </c>
    </row>
    <row r="14" spans="1:13" ht="20.25" customHeight="1">
      <c r="D14" s="124">
        <v>4</v>
      </c>
      <c r="E14" s="210"/>
      <c r="F14" s="136">
        <v>16690.909090909099</v>
      </c>
      <c r="G14" s="138">
        <v>0.36363636363636398</v>
      </c>
      <c r="H14" s="136">
        <v>59.8690909090909</v>
      </c>
      <c r="I14" s="138">
        <v>59.8690909090909</v>
      </c>
      <c r="J14" s="136">
        <v>2</v>
      </c>
      <c r="K14" s="138">
        <v>2</v>
      </c>
      <c r="L14" s="136">
        <v>3.6691779123029402</v>
      </c>
      <c r="M14" s="138">
        <v>6.7268261725553851</v>
      </c>
    </row>
    <row r="15" spans="1:13" ht="20.25" customHeight="1">
      <c r="D15" s="124">
        <v>5</v>
      </c>
      <c r="E15" s="210"/>
      <c r="F15" s="136">
        <v>20863.6363636364</v>
      </c>
      <c r="G15" s="138">
        <v>0.45454545454545497</v>
      </c>
      <c r="H15" s="136">
        <v>74.836363636363615</v>
      </c>
      <c r="I15" s="138">
        <v>74.836363636363615</v>
      </c>
      <c r="J15" s="136">
        <v>3</v>
      </c>
      <c r="K15" s="138">
        <v>3</v>
      </c>
      <c r="L15" s="136">
        <v>5.9574540468988202</v>
      </c>
      <c r="M15" s="138">
        <v>10.921999085981172</v>
      </c>
    </row>
    <row r="16" spans="1:13" ht="20.25" customHeight="1">
      <c r="D16" s="124">
        <v>6</v>
      </c>
      <c r="E16" s="210"/>
      <c r="F16" s="136">
        <v>25036.3636363636</v>
      </c>
      <c r="G16" s="138">
        <v>0.54545454545454497</v>
      </c>
      <c r="H16" s="136">
        <v>89.803636363636357</v>
      </c>
      <c r="I16" s="138">
        <v>89.803636363636357</v>
      </c>
      <c r="J16" s="136">
        <v>3</v>
      </c>
      <c r="K16" s="138">
        <v>3</v>
      </c>
      <c r="L16" s="136">
        <v>8.1453104552018498</v>
      </c>
      <c r="M16" s="138">
        <v>14.933069167870054</v>
      </c>
    </row>
    <row r="17" spans="4:13" ht="20.25" customHeight="1">
      <c r="D17" s="124">
        <v>7</v>
      </c>
      <c r="E17" s="210"/>
      <c r="F17" s="136">
        <v>29209.090909090901</v>
      </c>
      <c r="G17" s="138">
        <v>0.63636363636363635</v>
      </c>
      <c r="H17" s="136">
        <v>104.77090909090909</v>
      </c>
      <c r="I17" s="138">
        <v>104.77090909090909</v>
      </c>
      <c r="J17" s="136">
        <v>4</v>
      </c>
      <c r="K17" s="138">
        <v>4</v>
      </c>
      <c r="L17" s="136">
        <v>11.159682082376399</v>
      </c>
      <c r="M17" s="138">
        <v>20.459417151023377</v>
      </c>
    </row>
    <row r="18" spans="4:13" ht="20.25" customHeight="1">
      <c r="D18" s="124">
        <v>8</v>
      </c>
      <c r="E18" s="210"/>
      <c r="F18" s="136">
        <v>33381.818181818198</v>
      </c>
      <c r="G18" s="138">
        <v>0.72727272727272696</v>
      </c>
      <c r="H18" s="136">
        <v>119.7381818181818</v>
      </c>
      <c r="I18" s="138">
        <v>119.7381818181818</v>
      </c>
      <c r="J18" s="136">
        <v>4</v>
      </c>
      <c r="K18" s="138">
        <v>4</v>
      </c>
      <c r="L18" s="136">
        <v>14.2313050815893</v>
      </c>
      <c r="M18" s="138">
        <v>26.090725982913781</v>
      </c>
    </row>
    <row r="19" spans="4:13" ht="20.25" customHeight="1">
      <c r="D19" s="124">
        <v>9</v>
      </c>
      <c r="E19" s="210"/>
      <c r="F19" s="136">
        <v>37554.5454545455</v>
      </c>
      <c r="G19" s="138">
        <v>0.81818181818181801</v>
      </c>
      <c r="H19" s="136">
        <v>134.70545454545453</v>
      </c>
      <c r="I19" s="138">
        <v>134.70545454545453</v>
      </c>
      <c r="J19" s="136">
        <v>5</v>
      </c>
      <c r="K19" s="138">
        <v>5</v>
      </c>
      <c r="L19" s="136">
        <v>17.9800296561991</v>
      </c>
      <c r="M19" s="138">
        <v>32.96338770303165</v>
      </c>
    </row>
    <row r="20" spans="4:13" ht="20.25" customHeight="1">
      <c r="D20" s="124">
        <v>10</v>
      </c>
      <c r="E20" s="210"/>
      <c r="F20" s="136">
        <v>41727.272727272728</v>
      </c>
      <c r="G20" s="138">
        <v>0.90909090909090906</v>
      </c>
      <c r="H20" s="136">
        <v>149.67272727272723</v>
      </c>
      <c r="I20" s="138">
        <v>149.67272727272723</v>
      </c>
      <c r="J20" s="136">
        <v>5</v>
      </c>
      <c r="K20" s="138">
        <v>5</v>
      </c>
      <c r="L20" s="136">
        <v>21.9603622177133</v>
      </c>
      <c r="M20" s="138">
        <v>40.260664065807667</v>
      </c>
    </row>
    <row r="21" spans="4:13" ht="20.25" customHeight="1">
      <c r="D21" s="125">
        <v>11</v>
      </c>
      <c r="E21" s="211" t="s">
        <v>637</v>
      </c>
      <c r="F21" s="139">
        <v>45900</v>
      </c>
      <c r="G21" s="141">
        <v>1</v>
      </c>
      <c r="H21" s="139">
        <v>164.64</v>
      </c>
      <c r="I21" s="141">
        <v>164.64</v>
      </c>
      <c r="J21" s="139">
        <v>5</v>
      </c>
      <c r="K21" s="141">
        <v>5</v>
      </c>
      <c r="L21" s="139">
        <v>26.461795213985901</v>
      </c>
      <c r="M21" s="141">
        <v>48.513291225640849</v>
      </c>
    </row>
    <row r="23" spans="4:13" ht="20.25" customHeight="1">
      <c r="G23" s="230"/>
    </row>
  </sheetData>
  <sheetProtection algorithmName="SHA-512" hashValue="XO63yc/4wrz1U0rA0dFFA7gkI9fsFQhjU7wX3EiuSjht5WCF5oVz18qsgCgxbIOqjbho4Q9iSyNYajR36TCSAg==" saltValue="v/kfwkCpAGLO2eVQWbPw1w==" spinCount="100000" sheet="1" objects="1" scenarios="1"/>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C0C1-E2FE-4544-A001-82F682A4E123}">
  <sheetPr codeName="Sheet4">
    <tabColor theme="0" tint="-0.499984740745262"/>
  </sheetPr>
  <dimension ref="A1:N47"/>
  <sheetViews>
    <sheetView workbookViewId="0">
      <selection activeCell="A5" sqref="A5"/>
    </sheetView>
  </sheetViews>
  <sheetFormatPr defaultRowHeight="18.75"/>
  <cols>
    <col min="3" max="3" width="9" customWidth="1"/>
    <col min="14" max="14" width="17.25" bestFit="1" customWidth="1"/>
  </cols>
  <sheetData>
    <row r="1" spans="1:14">
      <c r="A1" s="28" t="s">
        <v>69</v>
      </c>
      <c r="B1" s="28" t="s">
        <v>70</v>
      </c>
      <c r="C1" s="28" t="s">
        <v>71</v>
      </c>
      <c r="D1" s="28" t="s">
        <v>72</v>
      </c>
      <c r="E1" s="28" t="s">
        <v>73</v>
      </c>
      <c r="F1" s="28" t="s">
        <v>74</v>
      </c>
      <c r="G1" s="28" t="s">
        <v>75</v>
      </c>
      <c r="H1" s="28"/>
      <c r="I1" s="28" t="s">
        <v>76</v>
      </c>
      <c r="J1" s="28"/>
      <c r="K1" s="28" t="s">
        <v>77</v>
      </c>
      <c r="L1" s="28"/>
      <c r="M1" s="28" t="s">
        <v>78</v>
      </c>
      <c r="N1" s="124"/>
    </row>
    <row r="2" spans="1:14" ht="112.5">
      <c r="A2" s="27" t="s">
        <v>41</v>
      </c>
      <c r="B2" s="27" t="s">
        <v>42</v>
      </c>
      <c r="C2" s="28" t="s">
        <v>46</v>
      </c>
      <c r="D2" s="27" t="s">
        <v>51</v>
      </c>
      <c r="E2" s="27" t="s">
        <v>542</v>
      </c>
      <c r="F2" s="27" t="s">
        <v>543</v>
      </c>
      <c r="G2" s="27" t="s">
        <v>58</v>
      </c>
      <c r="H2" s="27" t="s">
        <v>59</v>
      </c>
      <c r="I2" s="27" t="s">
        <v>62</v>
      </c>
      <c r="J2" s="27" t="s">
        <v>61</v>
      </c>
      <c r="K2" s="27" t="s">
        <v>64</v>
      </c>
      <c r="L2" s="27" t="s">
        <v>65</v>
      </c>
      <c r="M2" s="27" t="s">
        <v>68</v>
      </c>
      <c r="N2" s="154" t="s">
        <v>504</v>
      </c>
    </row>
    <row r="3" spans="1:14">
      <c r="A3" s="28" t="s">
        <v>48</v>
      </c>
      <c r="B3" s="28" t="s">
        <v>49</v>
      </c>
      <c r="C3" s="28" t="s">
        <v>47</v>
      </c>
      <c r="D3" s="28" t="s">
        <v>52</v>
      </c>
      <c r="E3" s="28" t="s">
        <v>54</v>
      </c>
      <c r="F3" s="28" t="s">
        <v>55</v>
      </c>
      <c r="G3" s="28" t="s">
        <v>56</v>
      </c>
      <c r="H3" s="28" t="s">
        <v>57</v>
      </c>
      <c r="I3" s="28" t="s">
        <v>56</v>
      </c>
      <c r="J3" s="28" t="s">
        <v>63</v>
      </c>
      <c r="K3" s="28" t="s">
        <v>56</v>
      </c>
      <c r="L3" s="28" t="s">
        <v>60</v>
      </c>
      <c r="M3" s="28" t="s">
        <v>66</v>
      </c>
      <c r="N3" s="124"/>
    </row>
    <row r="4" spans="1:14">
      <c r="A4" s="29" t="s">
        <v>44</v>
      </c>
      <c r="B4" s="29" t="s">
        <v>0</v>
      </c>
      <c r="C4" s="29" t="s">
        <v>44</v>
      </c>
      <c r="D4" s="29" t="s">
        <v>53</v>
      </c>
      <c r="E4" s="29" t="s">
        <v>5</v>
      </c>
      <c r="F4" s="29" t="s">
        <v>5</v>
      </c>
      <c r="G4" s="29" t="s">
        <v>44</v>
      </c>
      <c r="H4" s="29" t="s">
        <v>0</v>
      </c>
      <c r="I4" s="29" t="s">
        <v>44</v>
      </c>
      <c r="J4" s="29" t="s">
        <v>4</v>
      </c>
      <c r="K4" s="29" t="s">
        <v>44</v>
      </c>
      <c r="L4" s="29" t="s">
        <v>5</v>
      </c>
      <c r="M4" s="29" t="s">
        <v>67</v>
      </c>
      <c r="N4" s="125"/>
    </row>
    <row r="5" spans="1:14" ht="18.75" customHeight="1">
      <c r="A5" cm="1">
        <f t="array" ref="A5:A14">_xlfn.LET(
    _xlpm._rate_flow_volumetric__cubic_m_per_h, '3次式係数計算過程'!AN13:AN22,
    _xlpm._density_water__kg_per_cubic_m, 10 ^ 3,
    _xlpm._convert_units_from__per_h__to__per_s, 60 ^ -2,
    _xlpm._rate_flow_mass__kg_per_s, _xlpm._rate_flow_volumetric__cubic_m_per_h *
        _xlpm._density_water__kg_per_cubic_m *
        _xlpm._convert_units_from__per_h__to__per_s,
    _xlpm._rate_flow_mass__kg_per_s
)</f>
        <v>1275</v>
      </c>
      <c r="B5" cm="1">
        <f t="array" ref="B5:B14">'3次式係数計算過程'!AO13:AO22</f>
        <v>66.951999999999984</v>
      </c>
      <c r="C5" s="26" cm="1">
        <f t="array" ref="C5">_xlfn.LET(
    _xlpm._rate_flow_rated, 入力2!I7,
    _xlpm._number_unit, 入力1!O15,
    _xlpm._density_water__kg_per_cubic_m, 10 ^ 3,
    _xlpm._convert_units_from__per_h__to__per_s, 60 ^ -2,
    _xlpm._convert_units_from__per_min__to__per_s, 60 ^ -1,
    _xlpm._convert_units_from__litre__to__cubic_m, 10 ^ -3,
    _xlpm._rate_flow_mass_rated__kg_per_s, _xlfn.SWITCH(
        _xlpm._number_unit,
        1, _xlpm._rate_flow_rated *
            _xlpm._density_water__kg_per_cubic_m *
            _xlpm._convert_units_from__per_h__to__per_s,
        2, _xlpm._rate_flow_rated *
            _xlpm._density_water__kg_per_cubic_m *
            _xlpm._convert_units_from__per_min__to__per_s,
        3, _xlpm._rate_flow_rated *
            _xlpm._convert_units_from__litre__to__cubic_m *
            _xlpm._density_water__kg_per_cubic_m *
            _xlpm._convert_units_from__per_h__to__per_s,
        4, _xlpm._rate_flow_rated *
            _xlpm._convert_units_from__litre__to__cubic_m *
            _xlpm._density_water__kg_per_cubic_m *
            _xlpm._convert_units_from__per_min__to__per_s,
        5, _xlpm._rate_flow_rated *
            _xlpm._convert_units_from__litre__to__cubic_m *
            _xlpm._density_water__kg_per_cubic_m,
        NA()
    ),
    _xlpm._rate_flow_mass_rated__kg_per_s
)</f>
        <v>2550.0000000000005</v>
      </c>
      <c r="D5" s="26" cm="1">
        <f t="array" ref="D5">_xlfn.LET(
    _xlpm._speed_rotational, 入力2!I10,
    _xlpm._number_unit, 入力2!E7,
    _xlpm._convert_units_from__rph__to__rps, 60 ^ -2,
    _xlpm._convert_units_from__rpm__to__rps, 60 ^ -1,
    _xlpm._speed_rotational__rps, _xlfn.SWITCH(
        _xlpm._number_unit,
        1, _xlpm._speed_rotational,
        2, _xlpm._speed_rotational *
            _xlpm._convert_units_from__rpm__to__rps,
        3, _xlpm._speed_rotational *
            _xlpm._convert_units_from__rph__to__rps,
        NA()
    ),
    _xlpm._speed_rotational__rps
)</f>
        <v>30</v>
      </c>
      <c r="E5">
        <f>_xlfn.LET(
    _xlpm._ratio_of_minimum_to_rated, 入力3!E17,
    _xlpm._convert_units_from__percentage__to__rate, 10 ^ -2,
    _xlpm._ratio_of_minimum_to_rated *
        _xlpm._convert_units_from__percentage__to__rate
)</f>
        <v>0.2</v>
      </c>
      <c r="F5">
        <f>_xlfn.LET(
    _xlpm._ratio_of_maximum_to_rated, 入力3!E16,
    _xlpm._convert_units_from__percentage__to__rate, 10 ^ -2,
    _xlpm._ratio_of_maximum_to_rated *
        _xlpm._convert_units_from__percentage__to__rate
)</f>
        <v>1</v>
      </c>
      <c r="G5" cm="1">
        <f t="array" ref="G5:G38">_xlfn.LET(
    _xlpm._data_all, 入力1!E10:J1009,
    _xlpm._number_set, 入力1!R7,
    _xlpm._number_unit, 入力1!O15,
    _xlpm._density_water__kg_per_cubic_m, 10 ^ 3,
    _xlpm._convert_units_from__per_h__to__per_s, 60 ^ -2,
    _xlpm._convert_units_from__per_min__to__per_s, 60 ^ -1,
    _xlpm._convert_units_from__litre__to__cubic_m, 10 ^ -3,
    _xlpm._data_rate_flow, _xlfn.CHOOSECOLS(
        _xlpm._data_all,
        1 + 2 * (_xlpm._number_set - 1)
    ),
    _xlpm._numbers_row_available, _xlfn.LET(
        _xlpm._tmp, _xlfn._xlws.SORT(
            _xlfn.UNIQUE(
                _xlfn.SEQUENCE(ROWS(_xlpm._data_rate_flow)) *
                    (LEN(TRIM(_xlpm._data_rate_flow)) &gt; 0)
            )
        ),
        IF(
            ROWS(_xlpm._tmp) = 1,
            IF(_xlpm._tmp = 0, NA(), _xlpm._tmp),
            _xlfn.UNIQUE(IF(_xlpm._tmp = 0, INDEX(_xlpm._tmp, 2), _xlpm._tmp))
        )
    ),
    _xlpm._data_exists, NOT(ISNA(_xlpm._numbers_row_available)),
    _xlpm._rate_flow_mass__kg_per_s, IF(
        _xlpm._data_exists,
        _xlfn.LET(
            _xlpm._rate_flow, _xlfn.CHOOSEROWS(
                _xlpm._data_rate_flow,
                _xlpm._numbers_row_available
            ),
            _xlfn.SWITCH(
                _xlpm._number_unit,
                1, _xlpm._rate_flow *
                    _xlpm._density_water__kg_per_cubic_m *
                    _xlpm._convert_units_from__per_h__to__per_s,
                2, _xlpm._rate_flow *
                    _xlpm._density_water__kg_per_cubic_m *
                    _xlpm._convert_units_from__per_min__to__per_s,
                3, _xlpm._rate_flow *
                    _xlpm._convert_units_from__litre__to__cubic_m *
                    _xlpm._density_water__kg_per_cubic_m *
                    _xlpm._convert_units_from__per_h__to__per_s,
                4, _xlpm._rate_flow *
                    _xlpm._convert_units_from__litre__to__cubic_m *
                    _xlpm._density_water__kg_per_cubic_m *
                    _xlpm._convert_units_from__per_min__to__per_s,
                5, _xlpm._rate_flow *
                    _xlpm._convert_units_from__litre__to__cubic_m *
                    _xlpm._density_water__kg_per_cubic_m,
                NA()
            )
        ),
        ""
    ),
    _xlpm._rate_flow_mass__kg_per_s
)</f>
        <v>14.84230056</v>
      </c>
      <c r="H5" cm="1">
        <f t="array" ref="H5:H38">_xlfn.LET(
    _xlpm._data_all, 入力1!E10:J1009,
    _xlpm._number_set, 入力1!R7,
    _xlpm._number_unit, 入力1!P15,
    _xlpm._density_water__kg_per_cubic_m, 10 ^ 3,
    _xlpm._acceleration_gravitational__m_per_sqare_s, 9.80665,
    _xlpm._convert_units_from__mH2O__to__Pa, 9806.65,
    _xlpm._add_prefix_kilo, 10 ^ -3,
    _xlpm._remove_prefix_milli, 10 ^ -3,
    _xlpm._data_pressure, _xlfn.CHOOSECOLS(_xlpm._data_all, 1 + 2 * (_xlpm._number_set - 1) + 1),
    _xlpm._numbers_row_available, _xlfn.LET(
        _xlpm._tmp, _xlfn._xlws.SORT(_xlfn.UNIQUE(_xlfn.SEQUENCE(ROWS(_xlpm._data_pressure)) * (LEN(TRIM(_xlpm._data_pressure)) &gt; 0))),
        IF(ROWS(_xlpm._tmp) = 1, IF(_xlpm._tmp = 0, NA(), _xlpm._tmp), _xlfn.UNIQUE(IF(_xlpm._tmp = 0, INDEX(_xlpm._tmp, 2), _xlpm._tmp)))
    ),
    _xlpm._data_exists, NOT(ISNA(_xlpm._numbers_row_available)),
    _xlpm._pressure__kPa, IF(
        _xlpm._data_exists,
        _xlfn.LET(
            _xlpm._pressure, _xlfn.CHOOSEROWS(_xlpm._data_pressure, _xlpm._numbers_row_available),
            _xlfn.SWITCH(
                _xlpm._number_unit,
                1, _xlpm._pressure * _xlpm._add_prefix_kilo,
                2, _xlpm._pressure,
                3, _xlpm._pressure * _xlpm._remove_prefix_milli * _xlpm._convert_units_from__mH2O__to__Pa *
                    _xlpm._add_prefix_kilo,
                4, _xlpm._pressure * _xlpm._density_water__kg_per_cubic_m *
                    _xlpm._acceleration_gravitational__m_per_sqare_s * _xlpm._add_prefix_kilo,
                NA()
            )
        ),
        ""
    ),
    _xlpm._pressure__kPa
)</f>
        <v>435.65025802881445</v>
      </c>
      <c r="I5" cm="1">
        <f t="array" ref="I5:I36">_xlfn.LET(
    _xlpm._data_all, 入力1!E10:J1009,
    _xlpm._number_set, 入力1!R9,
    _xlpm._number_unit, 入力1!O15,
    _xlpm._density_water__kg_per_cubic_m, 10 ^ 3,
    _xlpm._convert_units_from__per_h__to__per_s, 60 ^ -2,
    _xlpm._convert_units_from__per_min__to__per_s, 60 ^ -1,
    _xlpm._convert_units_from__litre__to__cubic_m, 10 ^ -3,
    _xlpm._data_rate_flow, _xlfn.CHOOSECOLS(
        _xlpm._data_all,
        1 + 2 * (_xlpm._number_set - 1)
    ),
    _xlpm._numbers_row_available, _xlfn.LET(
        _xlpm._tmp, _xlfn._xlws.SORT(
            _xlfn.UNIQUE(
                _xlfn.SEQUENCE(ROWS(_xlpm._data_rate_flow)) *
                    (LEN(TRIM(_xlpm._data_rate_flow)) &gt; 0)
            )
        ),
        IF(
            ROWS(_xlpm._tmp) = 1,
            IF(_xlpm._tmp = 0, NA(), _xlpm._tmp),
            _xlfn.UNIQUE(IF(_xlpm._tmp = 0, INDEX(_xlpm._tmp, 2), _xlpm._tmp))
        )
    ),
    _xlpm._data_exists, NOT(ISNA(_xlpm._numbers_row_available)),
    _xlpm._rate_flow_mass__kg_per_s, IF(
        _xlpm._data_exists,
        _xlfn.LET(
            _xlpm._rate_flow, _xlfn.CHOOSEROWS(
                _xlpm._data_rate_flow,
                _xlpm._numbers_row_available
            ),
            _xlfn.SWITCH(
                _xlpm._number_unit,
                1, _xlpm._rate_flow *
                    _xlpm._density_water__kg_per_cubic_m *
                    _xlpm._convert_units_from__per_h__to__per_s,
                2, _xlpm._rate_flow *
                    _xlpm._density_water__kg_per_cubic_m *
                    _xlpm._convert_units_from__per_min__to__per_s,
                3, _xlpm._rate_flow *
                    _xlpm._convert_units_from__litre__to__cubic_m *
                    _xlpm._density_water__kg_per_cubic_m *
                    _xlpm._convert_units_from__per_h__to__per_s,
                4, _xlpm._rate_flow *
                    _xlpm._convert_units_from__litre__to__cubic_m *
                    _xlpm._density_water__kg_per_cubic_m *
                    _xlpm._convert_units_from__per_min__to__per_s,
                5, _xlpm._rate_flow *
                    _xlpm._convert_units_from__litre__to__cubic_m *
                    _xlpm._density_water__kg_per_cubic_m,
                NA()
            )
        ),
        ""
    ),
    _xlpm._rate_flow_mass__kg_per_s
)</f>
        <v>14.84230056</v>
      </c>
      <c r="J5" cm="1">
        <f t="array" ref="J5:J36">_xlfn.LET(
    _xlpm._data_all, 入力1!E10:J1009,
    _xlpm._number_set, 入力1!R9,
    _xlpm._number_unit, 入力1!R15,
    _xlpm._add_prefix_kilo, 10 ^ -3,
    _xlpm._data_power_shaft, _xlfn.CHOOSECOLS(_xlpm._data_all, 1 + 2 * (_xlpm._number_set - 1) + 1),
    _xlpm._numbers_row_available, _xlfn.LET(
        _xlpm._tmp, _xlfn._xlws.SORT(_xlfn.UNIQUE(_xlfn.SEQUENCE(ROWS(_xlpm._data_power_shaft)) * (LEN(TRIM(_xlpm._data_power_shaft)) &gt; 0))),
        IF(ROWS(_xlpm._tmp) = 1, IF(_xlpm._tmp = 0, NA(), _xlpm._tmp), _xlfn.UNIQUE(IF(_xlpm._tmp = 0, INDEX(_xlpm._tmp, 2), _xlpm._tmp)))
    ),
    _xlpm._data_exists, NOT(ISNA(_xlpm._numbers_row_available)),
    _xlpm._power_shaft__kW, IF(
        _xlpm._data_exists,
        _xlfn.LET(
            _xlpm._power_shaft, _xlfn.CHOOSEROWS(_xlpm._data_power_shaft, _xlpm._numbers_row_available),
            _xlfn.SWITCH(_xlpm._number_unit, 1, _xlpm._power_shaft, 2, _xlpm._power_shaft * _xlpm._add_prefix_kilo, NA())
        ),
        ""
    ),
    _xlpm._power_shaft__kW
)</f>
        <v>5.6744186049999996</v>
      </c>
      <c r="K5" cm="1">
        <f t="array" ref="K5:K47">_xlfn.LET(
    _xlpm._data_all, 入力1!E10:J1009,
    _xlpm._number_set, 入力1!R8,
    _xlpm._number_unit, 入力1!O15,
    _xlpm._density_water__kg_per_cubic_m, 10 ^ 3,
    _xlpm._convert_units_from__per_h__to__per_s, 60 ^ -2,
    _xlpm._convert_units_from__per_min__to__per_s, 60 ^ -1,
    _xlpm._convert_units_from__litre__to__cubic_m, 10 ^ -3,
    _xlpm._data_rate_flow, _xlfn.CHOOSECOLS(
        _xlpm._data_all,
        1 + 2 * (_xlpm._number_set - 1)
    ),
    _xlpm._numbers_row_available, _xlfn.LET(
        _xlpm._tmp, _xlfn._xlws.SORT(
            _xlfn.UNIQUE(
                _xlfn.SEQUENCE(ROWS(_xlpm._data_rate_flow)) *
                    (LEN(TRIM(_xlpm._data_rate_flow)) &gt; 0)
            )
        ),
        IF(
            ROWS(_xlpm._tmp) = 1,
            IF(_xlpm._tmp = 0, NA(), _xlpm._tmp),
            _xlfn.UNIQUE(IF(_xlpm._tmp = 0, INDEX(_xlpm._tmp, 2), _xlpm._tmp))
        )
    ),
    _xlpm._data_exists, NOT(ISNA(_xlpm._numbers_row_available)),
    _xlpm._rate_flow_mass__kg_per_s, IF(
        _xlpm._data_exists,
        _xlfn.LET(
            _xlpm._rate_flow, _xlfn.CHOOSEROWS(
                _xlpm._data_rate_flow,
                _xlpm._numbers_row_available
            ),
            _xlfn.SWITCH(
                _xlpm._number_unit,
                1, _xlpm._rate_flow *
                    _xlpm._density_water__kg_per_cubic_m *
                    _xlpm._convert_units_from__per_h__to__per_s,
                2, _xlpm._rate_flow *
                    _xlpm._density_water__kg_per_cubic_m *
                    _xlpm._convert_units_from__per_min__to__per_s,
                3, _xlpm._rate_flow *
                    _xlpm._convert_units_from__litre__to__cubic_m *
                    _xlpm._density_water__kg_per_cubic_m *
                    _xlpm._convert_units_from__per_h__to__per_s,
                4, _xlpm._rate_flow *
                    _xlpm._convert_units_from__litre__to__cubic_m *
                    _xlpm._density_water__kg_per_cubic_m *
                    _xlpm._convert_units_from__per_min__to__per_s,
                5, _xlpm._rate_flow *
                    _xlpm._convert_units_from__litre__to__cubic_m *
                    _xlpm._density_water__kg_per_cubic_m,
                NA()
            )
        ),
        ""
    ),
    _xlpm._rate_flow_mass__kg_per_s
)</f>
        <v>0</v>
      </c>
      <c r="L5" cm="1">
        <f t="array" ref="L5:L47">_xlfn.LET(
    _xlpm._data_sampling, 入力1!E10:J1009,
    _xlpm._number_set,入力1!R8,
    _xlpm._number_unit,入力1!Q15,
    _xlpm._convert_units_from__percentage__to__rate, 10 ^ -2,
    _xlpm._efficiencies_sampling, _xlfn.CHOOSECOLS(
        _xlpm._data_sampling,
        1 + 2 * (_xlpm._number_set - 1) + 1
    ),
    _xlpm._numbers_row_available, _xlfn.LET(
        _xlpm._tmp, _xlfn._xlws.SORT(
            _xlfn.UNIQUE(
                _xlfn.SEQUENCE(
                    ROWS(_xlpm._efficiencies_sampling)
                ) *
                    (
                        LEN(
                            TRIM(
                                _xlpm._efficiencies_sampling
                            )
                        ) &gt; 0
                    )
            )
        ),
        IF(
            ROWS(_xlpm._tmp) = 1,
            IF(_xlpm._tmp = 0, NA(), _xlpm._tmp),
            _xlfn.UNIQUE(IF(_xlpm._tmp = 0, INDEX(_xlpm._tmp, 2), _xlpm._tmp))
        )
    ),
    _xlpm._efficiencies_exist, NOT(
        ISNA(_xlpm._numbers_row_available)
    ),
    _xlpm._efficiencies__rate, IF(
        _xlpm._efficiencies_exist,
        _xlfn.LET(
            _xlpm._efficiencies, _xlfn.CHOOSEROWS(
                _xlpm._efficiencies_sampling,
                _xlpm._numbers_row_available
            ),
            _xlfn.SWITCH(
                _xlpm._number_unit,
                1, _xlpm._efficiencies,
                2, _xlpm._efficiencies *
                    _xlpm._convert_units_from__percentage__to__rate,
                , NA()
            )
        ),
        ""
    ),
    _xlpm._efficiencies__rate
)</f>
        <v>-5.5813953500000006E-3</v>
      </c>
      <c r="M5" s="30">
        <v>20</v>
      </c>
      <c r="N5" s="31" t="str">
        <f>入力4!E6</f>
        <v>軸動力</v>
      </c>
    </row>
    <row r="6" spans="1:14" ht="18.75" customHeight="1">
      <c r="A6">
        <v>2550</v>
      </c>
      <c r="B6">
        <v>83.903999999999982</v>
      </c>
      <c r="G6">
        <v>163.2653061</v>
      </c>
      <c r="H6">
        <v>436.55409675204953</v>
      </c>
      <c r="I6">
        <v>126.15955470000002</v>
      </c>
      <c r="J6">
        <v>6.2325581400000001</v>
      </c>
      <c r="K6">
        <v>66.790352499999997</v>
      </c>
      <c r="L6">
        <v>5.3953488370000004E-2</v>
      </c>
    </row>
    <row r="7" spans="1:14">
      <c r="A7">
        <v>1912.5</v>
      </c>
      <c r="B7">
        <v>100.85599999999999</v>
      </c>
      <c r="C7" s="242"/>
      <c r="G7">
        <v>326.53061220000001</v>
      </c>
      <c r="H7">
        <v>434.74641940364597</v>
      </c>
      <c r="I7">
        <v>267.16140999999999</v>
      </c>
      <c r="J7">
        <v>7.1627906980000002</v>
      </c>
      <c r="K7">
        <v>126.15955470000002</v>
      </c>
      <c r="L7">
        <v>0.1023255814</v>
      </c>
    </row>
    <row r="8" spans="1:14">
      <c r="A8">
        <v>2550</v>
      </c>
      <c r="B8">
        <v>117.80799999999998</v>
      </c>
      <c r="G8">
        <v>482.37476810000004</v>
      </c>
      <c r="H8">
        <v>435.65025802881445</v>
      </c>
      <c r="I8">
        <v>385.89981449999999</v>
      </c>
      <c r="J8">
        <v>7.6279069770000003</v>
      </c>
      <c r="K8">
        <v>185.52875700000001</v>
      </c>
      <c r="L8">
        <v>0.1451162791</v>
      </c>
    </row>
    <row r="9" spans="1:14">
      <c r="A9">
        <v>2125</v>
      </c>
      <c r="B9">
        <v>134.76</v>
      </c>
      <c r="G9">
        <v>667.90352499999995</v>
      </c>
      <c r="H9">
        <v>431.13106451070598</v>
      </c>
      <c r="I9">
        <v>526.90166980000004</v>
      </c>
      <c r="J9">
        <v>8.7441860469999995</v>
      </c>
      <c r="K9">
        <v>237.47680890000001</v>
      </c>
      <c r="L9">
        <v>0.18790697670000001</v>
      </c>
    </row>
    <row r="10" spans="1:14">
      <c r="A10">
        <v>2550</v>
      </c>
      <c r="B10">
        <v>151.71199999999999</v>
      </c>
      <c r="G10">
        <v>823.74768089999998</v>
      </c>
      <c r="H10">
        <v>426.61187099259752</v>
      </c>
      <c r="I10">
        <v>675.32467529999997</v>
      </c>
      <c r="J10">
        <v>9.7674418599999999</v>
      </c>
      <c r="K10">
        <v>304.26716140000002</v>
      </c>
      <c r="L10">
        <v>0.23255813950000001</v>
      </c>
    </row>
    <row r="11" spans="1:14">
      <c r="A11">
        <v>2231.25</v>
      </c>
      <c r="B11">
        <v>168.66399999999999</v>
      </c>
      <c r="G11">
        <v>935.06493509999996</v>
      </c>
      <c r="H11">
        <v>422.99651609965753</v>
      </c>
      <c r="I11">
        <v>816.32653059999996</v>
      </c>
      <c r="J11">
        <v>10.69767442</v>
      </c>
      <c r="K11">
        <v>378.47866420000003</v>
      </c>
      <c r="L11">
        <v>0.2958139535</v>
      </c>
    </row>
    <row r="12" spans="1:14">
      <c r="A12">
        <v>2550</v>
      </c>
      <c r="B12">
        <v>185.61599999999999</v>
      </c>
      <c r="G12">
        <v>1046.3821889999999</v>
      </c>
      <c r="H12">
        <v>419.38116130478397</v>
      </c>
      <c r="I12">
        <v>979.59183670000004</v>
      </c>
      <c r="J12">
        <v>11.627906980000001</v>
      </c>
      <c r="K12">
        <v>482.37476810000004</v>
      </c>
      <c r="L12">
        <v>0.36465116279999998</v>
      </c>
    </row>
    <row r="13" spans="1:14">
      <c r="A13">
        <v>2295</v>
      </c>
      <c r="B13">
        <v>202.56799999999998</v>
      </c>
      <c r="G13">
        <v>1179.962894</v>
      </c>
      <c r="H13">
        <v>412.15045161697043</v>
      </c>
      <c r="I13">
        <v>1105.751391</v>
      </c>
      <c r="J13">
        <v>12.651162790000001</v>
      </c>
      <c r="K13">
        <v>578.84972170000003</v>
      </c>
      <c r="L13">
        <v>0.41860465120000001</v>
      </c>
    </row>
    <row r="14" spans="1:14">
      <c r="A14">
        <v>2550</v>
      </c>
      <c r="B14">
        <v>219.51999999999998</v>
      </c>
      <c r="G14">
        <v>1350.649351</v>
      </c>
      <c r="H14">
        <v>404.01590320592197</v>
      </c>
      <c r="I14">
        <v>1269.0166979999999</v>
      </c>
      <c r="J14">
        <v>13.48837209</v>
      </c>
      <c r="K14">
        <v>697.58812620000015</v>
      </c>
      <c r="L14">
        <v>0.48930232560000003</v>
      </c>
    </row>
    <row r="15" spans="1:14">
      <c r="G15">
        <v>1528.7569570000001</v>
      </c>
      <c r="H15">
        <v>393.16983872323493</v>
      </c>
      <c r="I15">
        <v>1461.9666050000003</v>
      </c>
      <c r="J15">
        <v>14.60465116</v>
      </c>
      <c r="K15">
        <v>764.37847869999996</v>
      </c>
      <c r="L15">
        <v>0.51906976739999999</v>
      </c>
    </row>
    <row r="16" spans="1:14">
      <c r="G16">
        <v>1721.7068650000003</v>
      </c>
      <c r="H16">
        <v>382.32377424054795</v>
      </c>
      <c r="I16">
        <v>1632.653061</v>
      </c>
      <c r="J16">
        <v>15.627906980000001</v>
      </c>
      <c r="K16">
        <v>831.16883120000011</v>
      </c>
      <c r="L16">
        <v>0.54139534879999995</v>
      </c>
    </row>
    <row r="17" spans="7:12">
      <c r="G17">
        <v>1870.12987</v>
      </c>
      <c r="H17">
        <v>372.38154838302955</v>
      </c>
      <c r="I17">
        <v>1803.339518</v>
      </c>
      <c r="J17">
        <v>16.74418605</v>
      </c>
      <c r="K17">
        <v>890.53803340000002</v>
      </c>
      <c r="L17">
        <v>0.56186046509999998</v>
      </c>
    </row>
    <row r="18" spans="7:12">
      <c r="G18">
        <v>2063.0797769999999</v>
      </c>
      <c r="H18">
        <v>363.34316124874601</v>
      </c>
      <c r="I18">
        <v>1966.604824</v>
      </c>
      <c r="J18">
        <v>17.302325580000002</v>
      </c>
      <c r="K18">
        <v>949.90723560000004</v>
      </c>
      <c r="L18">
        <v>0.58046511629999997</v>
      </c>
    </row>
    <row r="19" spans="7:12">
      <c r="G19">
        <v>2211.5027829999999</v>
      </c>
      <c r="H19">
        <v>352.49709676605903</v>
      </c>
      <c r="I19">
        <v>2159.5547310000002</v>
      </c>
      <c r="J19">
        <v>18.139534879999999</v>
      </c>
      <c r="K19">
        <v>1024.1187379999999</v>
      </c>
      <c r="L19">
        <v>0.59534883720000009</v>
      </c>
    </row>
    <row r="20" spans="7:12">
      <c r="G20">
        <v>2404.4526900000001</v>
      </c>
      <c r="H20">
        <v>338.93951611366703</v>
      </c>
      <c r="I20">
        <v>2322.820037</v>
      </c>
      <c r="J20">
        <v>18.79069767</v>
      </c>
      <c r="K20">
        <v>1135.4359930000001</v>
      </c>
      <c r="L20">
        <v>0.60651162790000002</v>
      </c>
    </row>
    <row r="21" spans="7:12">
      <c r="G21">
        <v>2619.666048</v>
      </c>
      <c r="H21">
        <v>325.38193546127502</v>
      </c>
      <c r="I21">
        <v>2463.8218919999999</v>
      </c>
      <c r="J21">
        <v>19.06976744</v>
      </c>
      <c r="K21">
        <v>1261.5955469999999</v>
      </c>
      <c r="L21">
        <v>0.62883720930000009</v>
      </c>
    </row>
    <row r="22" spans="7:12">
      <c r="G22">
        <v>2812.6159550000002</v>
      </c>
      <c r="H22">
        <v>313.63203225535301</v>
      </c>
      <c r="I22">
        <v>2589.9814470000001</v>
      </c>
      <c r="J22">
        <v>19.813953489999999</v>
      </c>
      <c r="K22">
        <v>1395.176252</v>
      </c>
      <c r="L22">
        <v>0.63627906980000004</v>
      </c>
    </row>
    <row r="23" spans="7:12">
      <c r="G23">
        <v>2953.6178110000001</v>
      </c>
      <c r="H23">
        <v>304.59364512106953</v>
      </c>
      <c r="I23">
        <v>2701.2987010000002</v>
      </c>
      <c r="J23">
        <v>20.093023259999999</v>
      </c>
      <c r="K23">
        <v>1521.3358069999999</v>
      </c>
      <c r="L23">
        <v>0.65302325579999998</v>
      </c>
    </row>
    <row r="24" spans="7:12">
      <c r="G24">
        <v>3072.3562149999998</v>
      </c>
      <c r="H24">
        <v>294.65141936161746</v>
      </c>
      <c r="I24">
        <v>2812.6159550000002</v>
      </c>
      <c r="J24">
        <v>20.27906977</v>
      </c>
      <c r="K24">
        <v>1684.6011129999999</v>
      </c>
      <c r="L24">
        <v>0.66790697669999999</v>
      </c>
    </row>
    <row r="25" spans="7:12">
      <c r="G25">
        <v>3191.0946199999998</v>
      </c>
      <c r="H25">
        <v>285.61303222733397</v>
      </c>
      <c r="I25">
        <v>2961.0389610000002</v>
      </c>
      <c r="J25">
        <v>20.651162790000001</v>
      </c>
      <c r="K25">
        <v>1833.0241190000002</v>
      </c>
      <c r="L25">
        <v>0.68093023259999996</v>
      </c>
    </row>
    <row r="26" spans="7:12">
      <c r="G26">
        <v>3361.7810760000002</v>
      </c>
      <c r="H26">
        <v>275.67080646788202</v>
      </c>
      <c r="I26">
        <v>3116.8831169999999</v>
      </c>
      <c r="J26">
        <v>21.023255809999998</v>
      </c>
      <c r="K26">
        <v>1974.0259739999999</v>
      </c>
      <c r="L26">
        <v>0.68837209300000002</v>
      </c>
    </row>
    <row r="27" spans="7:12">
      <c r="G27">
        <v>3465.6771800000001</v>
      </c>
      <c r="H27">
        <v>264.82474188712848</v>
      </c>
      <c r="I27">
        <v>3287.5695730000002</v>
      </c>
      <c r="J27">
        <v>21.302325580000002</v>
      </c>
      <c r="K27">
        <v>2129.8701300000002</v>
      </c>
      <c r="L27">
        <v>0.69395348839999993</v>
      </c>
    </row>
    <row r="28" spans="7:12">
      <c r="G28">
        <v>3569.5732840000001</v>
      </c>
      <c r="H28">
        <v>253.9786774044415</v>
      </c>
      <c r="I28">
        <v>3480.5194809999998</v>
      </c>
      <c r="J28">
        <v>21.488372089999999</v>
      </c>
      <c r="K28">
        <v>2300.5565860000002</v>
      </c>
      <c r="L28">
        <v>0.70697674420000001</v>
      </c>
    </row>
    <row r="29" spans="7:12">
      <c r="G29">
        <v>3703.1539889999999</v>
      </c>
      <c r="H29">
        <v>241.32493547528449</v>
      </c>
      <c r="I29">
        <v>3643.7847870000001</v>
      </c>
      <c r="J29">
        <v>21.767441860000002</v>
      </c>
      <c r="K29">
        <v>2463.8218919999999</v>
      </c>
      <c r="L29">
        <v>0.71069767440000009</v>
      </c>
    </row>
    <row r="30" spans="7:12">
      <c r="G30">
        <v>3836.7346940000007</v>
      </c>
      <c r="H30">
        <v>228.67119354612751</v>
      </c>
      <c r="I30">
        <v>3784.786642</v>
      </c>
      <c r="J30">
        <v>21.953488369999999</v>
      </c>
      <c r="K30">
        <v>2619.666048</v>
      </c>
      <c r="L30">
        <v>0.71813953490000004</v>
      </c>
    </row>
    <row r="31" spans="7:12">
      <c r="G31">
        <v>3962.8942489999999</v>
      </c>
      <c r="H31">
        <v>216.92129034020547</v>
      </c>
      <c r="I31">
        <v>3955.4730979999999</v>
      </c>
      <c r="J31">
        <v>22.139534879999999</v>
      </c>
      <c r="K31">
        <v>2745.8256029999998</v>
      </c>
      <c r="L31">
        <v>0.72</v>
      </c>
    </row>
    <row r="32" spans="7:12">
      <c r="G32">
        <v>4103.8961040000004</v>
      </c>
      <c r="H32">
        <v>200.65219351810848</v>
      </c>
      <c r="I32">
        <v>4141.0018550000004</v>
      </c>
      <c r="J32">
        <v>22.232558139999998</v>
      </c>
      <c r="K32">
        <v>2916.5120590000001</v>
      </c>
      <c r="L32">
        <v>0.72372093019999995</v>
      </c>
    </row>
    <row r="33" spans="7:12">
      <c r="G33">
        <v>4207.7922079999998</v>
      </c>
      <c r="H33">
        <v>187.9984515889515</v>
      </c>
      <c r="I33">
        <v>4267.1614099999997</v>
      </c>
      <c r="J33">
        <v>22.325581400000001</v>
      </c>
      <c r="K33">
        <v>3072.3562149999998</v>
      </c>
      <c r="L33">
        <v>0.72372093019999995</v>
      </c>
    </row>
    <row r="34" spans="7:12">
      <c r="G34">
        <v>4296.8460109999996</v>
      </c>
      <c r="H34">
        <v>177.15238710626448</v>
      </c>
      <c r="I34">
        <v>4408.163265000001</v>
      </c>
      <c r="J34">
        <v>22.60465116</v>
      </c>
      <c r="K34">
        <v>3198.51577</v>
      </c>
      <c r="L34">
        <v>0.71813953490000004</v>
      </c>
    </row>
    <row r="35" spans="7:12">
      <c r="G35">
        <v>4371.0575140000001</v>
      </c>
      <c r="H35">
        <v>168.113999971981</v>
      </c>
      <c r="I35">
        <v>4541.7439700000004</v>
      </c>
      <c r="J35">
        <v>22.697674419999998</v>
      </c>
      <c r="K35">
        <v>3302.4118740000004</v>
      </c>
      <c r="L35">
        <v>0.71255813950000002</v>
      </c>
    </row>
    <row r="36" spans="7:12">
      <c r="G36">
        <v>4437.8478660000001</v>
      </c>
      <c r="H36">
        <v>159.07561293576398</v>
      </c>
      <c r="I36">
        <v>4615.955473</v>
      </c>
      <c r="J36">
        <v>22.60465116</v>
      </c>
      <c r="K36">
        <v>3443.4137289999999</v>
      </c>
      <c r="L36">
        <v>0.69953488370000005</v>
      </c>
    </row>
    <row r="37" spans="7:12">
      <c r="G37">
        <v>4512.0593689999996</v>
      </c>
      <c r="H37">
        <v>151.8449032479505</v>
      </c>
      <c r="K37">
        <v>3562.1521340000004</v>
      </c>
      <c r="L37">
        <v>0.6920930233</v>
      </c>
    </row>
    <row r="38" spans="7:12">
      <c r="G38">
        <v>4601.1131729999997</v>
      </c>
      <c r="H38">
        <v>140.99883866719699</v>
      </c>
      <c r="K38">
        <v>3680.8905380000001</v>
      </c>
      <c r="L38">
        <v>0.67720930229999998</v>
      </c>
    </row>
    <row r="39" spans="7:12">
      <c r="K39">
        <v>3799.6289419999998</v>
      </c>
      <c r="L39">
        <v>0.66046511630000004</v>
      </c>
    </row>
    <row r="40" spans="7:12">
      <c r="K40">
        <v>3903.5250460000002</v>
      </c>
      <c r="L40">
        <v>0.64186046509999994</v>
      </c>
    </row>
    <row r="41" spans="7:12">
      <c r="K41">
        <v>4022.2634509999998</v>
      </c>
      <c r="L41">
        <v>0.61395348839999997</v>
      </c>
    </row>
    <row r="42" spans="7:12">
      <c r="K42">
        <v>4111.3172539999996</v>
      </c>
      <c r="L42">
        <v>0.59906976739999995</v>
      </c>
    </row>
    <row r="43" spans="7:12">
      <c r="K43">
        <v>4230.0556589999997</v>
      </c>
      <c r="L43">
        <v>0.56744186050000001</v>
      </c>
    </row>
    <row r="44" spans="7:12">
      <c r="K44">
        <v>4341.3729130000002</v>
      </c>
      <c r="L44">
        <v>0.53767441859999998</v>
      </c>
    </row>
    <row r="45" spans="7:12">
      <c r="K45">
        <v>4430.4267159999999</v>
      </c>
      <c r="L45">
        <v>0.51720930230000006</v>
      </c>
    </row>
    <row r="46" spans="7:12">
      <c r="K46">
        <v>4519.4805189999997</v>
      </c>
      <c r="L46">
        <v>0.49116279069999996</v>
      </c>
    </row>
    <row r="47" spans="7:12">
      <c r="K47">
        <v>4601.1131729999997</v>
      </c>
      <c r="L47">
        <v>0.46325581399999999</v>
      </c>
    </row>
  </sheetData>
  <sheetProtection algorithmName="SHA-512" hashValue="OMlzEDdluzlTDwT9yX/IOdYFO81g8hrXQ0XAG24lEYK4eISLBR34RjbS/dIGLkEjnVLAytBqeXaZYh01QV74Xg==" saltValue="cEV751vyImiOZ0GL6N194A==" spinCount="100000" sheet="1" objects="1" scenarios="1"/>
  <phoneticPr fontId="2"/>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FEJSONBlob xmlns="http://schemas.advancedformulaenvironment.officeapps.live.com/afejsonblob/1.0">ewAiAHMAYwBoAGUAbQBhACIAOgAiAGgAdAB0AHAAOgAvAC8AcwBjAGgAZQBtAGEAcwAuAGEAZAB2AGEAbgBjAGUAZABmAG8AcgBtAHUAbABhAGUAbgB2AGkAcgBvAG4AbQBlAG4AdAAuAG8AZgBmAGkAYwBlAGEAcABwAHMALgBsAGkAdgBlAC4AYwBvAG0ALwBhAGYAZQBwAHIAbwBqAGUAYwB0AHMALwAwAC4AMgAiACwAIgBmAGkAbABlAHMAIgA6AFsAewAiAHAAYQB0AGgAIgA6ACIALwBwAHIAbwBqAGUAYwB0AHMALwBXAG8AcgBrAGIAbwBvAGsAIgAsACIAdABlAHgAdAAiADoAIgAvAC8AIAAtAC0ALQAgAFcAbwByAGsAYgBvAG8AawAgAG0AbwBkAHUAbABlACAALQAtAC0AXABuAC8ALwAgAEEAIABmAGkAbABlACAAbwBmACAAbgBhAG0AZQAgAGQAZQBmAGkAbgBpAHQAaQBvAG4AcwAgAG8AZgAgAHQAaABlACAAZgBvAHIAbQA6AFwAbgAvAC8AIAAgACAAIABuAGEAbQBlACAAPQAgAGQAZQBmAGkAbgBpAHQAaQBvAG4AOwBcAG4AIgB9AF0ALAAiAHAAcgBvAGoAZQBjAHQATgBhAG0AZQBzACIAOgBbAF0ALAAiAGwAbwBjAGEAbABlACIAOgB7ACIAbABpAHMAdABTAGUAcABhAHIAYQB0AG8AcgAiADoAIgAsACIALAAiAHIAbwB3AFMAZQBwAGEAcgBhAHQAbwByACIAOgAiADsAIgAsACIAYwBvAGwAdQBtAG4AUwBlAHAAYQByAGEAdABvAHIAIgA6ACIALAAiACwAIgB0AGgAbwB1AHMAYQBuAGQAcwBTAGUAcABhAHIAYQB0AG8AcgAiADoAIgAsACIALAAiAHQAaABvAHUAcwBhAG4AZABzAFAAbwBzAGkAdABpAG8AbgBzACIAOgBbADMAXQAsACIAZABlAGMAaQBtAGEAbABTAGUAcABhAHIAYQB0AG8AcgAiADoAIgAuACIALAAiAGQAYQB0AGUATwByAGQAZQByACIAOgAiAFkATQBEACIALAAiAGMAdQByAHIAZQBuAGMAeQBTAHkAbQBiAG8AbAAiADoAIgClACIALAAiAGkAcwBDAHUAcgByAGUAbgBjAHkAUwB5AG0AYgBvAGwATABlAGEAZAAiADoAdAByAHUAZQAsACIAaQBzAEMAdQByAHIAZQBuAGMAeQBTAGUAcABCAHkAUwBwAGEAYwBlACIAOgBmAGEAbABzAGUALAAiAHIAbwB3AEwAZQB0AHQAZQByACIAOgAiAFIAIgAsACIAYwBvAGwAdQBtAG4ATABlAHQAdABlAHIAIgA6ACIAQwAiACwAIgByAGMATABlAGYAdABCAHIAYQBjAGsAZQB0ACIAOgAiAFsAIgAsACIAcgBjAFIAaQBnAGgAdABCAHIAYQBjAGsAZQB0ACIAOgAiAF0AIgAsACIAcwB0AGEAdABlAG0AZQBuAHQAUwBlAHAAYQByAGEAdABvAHIAIgA6ACIAOwAiACwAIgBsAG8AYwBhAGwAZQBOAGEAbQBlACIAOgAiAGoAYQAtAGoAcAAiAH0AfQA=</AFEJSONBlob>
</file>

<file path=customXml/itemProps1.xml><?xml version="1.0" encoding="utf-8"?>
<ds:datastoreItem xmlns:ds="http://schemas.openxmlformats.org/officeDocument/2006/customXml" ds:itemID="{BF7F7B2E-A13B-4D72-8054-0ABB24E0DB61}">
  <ds:schemaRefs>
    <ds:schemaRef ds:uri="http://schemas.advancedformulaenvironment.officeapps.live.com/afejsonblob/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2</vt:i4>
      </vt:variant>
    </vt:vector>
  </HeadingPairs>
  <TitlesOfParts>
    <vt:vector size="33" baseType="lpstr">
      <vt:lpstr>使用許諾条件</vt:lpstr>
      <vt:lpstr>使い方</vt:lpstr>
      <vt:lpstr>入力0</vt:lpstr>
      <vt:lpstr>入力1</vt:lpstr>
      <vt:lpstr>入力2</vt:lpstr>
      <vt:lpstr>入力3</vt:lpstr>
      <vt:lpstr>入力4</vt:lpstr>
      <vt:lpstr>入力5</vt:lpstr>
      <vt:lpstr>prm</vt:lpstr>
      <vt:lpstr>回帰式の確認</vt:lpstr>
      <vt:lpstr>ポンプ軸動力等の確認</vt:lpstr>
      <vt:lpstr>任意評定用結果出力</vt:lpstr>
      <vt:lpstr>VWV設計計算_パラメータ設定_運転点設定(改)</vt:lpstr>
      <vt:lpstr>3次式係数計算過程</vt:lpstr>
      <vt:lpstr>A</vt:lpstr>
      <vt:lpstr>B</vt:lpstr>
      <vt:lpstr>C1</vt:lpstr>
      <vt:lpstr>C2</vt:lpstr>
      <vt:lpstr>C3</vt:lpstr>
      <vt:lpstr>D_1</vt:lpstr>
      <vt:lpstr>D_2</vt:lpstr>
      <vt:lpstr>D_3</vt:lpstr>
      <vt:lpstr>D_4</vt:lpstr>
      <vt:lpstr>D_5</vt:lpstr>
      <vt:lpstr>D_6</vt:lpstr>
      <vt:lpstr>D_7</vt:lpstr>
      <vt:lpstr>D_8</vt:lpstr>
      <vt:lpstr>D_9</vt:lpstr>
      <vt:lpstr>D_10</vt:lpstr>
      <vt:lpstr>E</vt:lpstr>
      <vt:lpstr>F</vt:lpstr>
      <vt:lpstr>_path.file.csv.digitizer</vt:lpstr>
      <vt:lpstr>任意評定用結果出力!Print_Area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松下直幹</dc:creator>
  <cp:lastModifiedBy>峰野悟</cp:lastModifiedBy>
  <cp:lastPrinted>2024-10-09T01:00:11Z</cp:lastPrinted>
  <dcterms:created xsi:type="dcterms:W3CDTF">2020-10-17T12:19:46Z</dcterms:created>
  <dcterms:modified xsi:type="dcterms:W3CDTF">2025-01-06T03:36:35Z</dcterms:modified>
</cp:coreProperties>
</file>